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708F6BC0-0635-4C99-B8F0-19608485285B}" xr6:coauthVersionLast="47" xr6:coauthVersionMax="47" xr10:uidLastSave="{00000000-0000-0000-0000-000000000000}"/>
  <bookViews>
    <workbookView xWindow="31800" yWindow="1170" windowWidth="21600" windowHeight="11295" xr2:uid="{00000000-000D-0000-FFFF-FFFF00000000}"/>
  </bookViews>
  <sheets>
    <sheet name="Sheet1" sheetId="23" r:id="rId1"/>
    <sheet name="Sheet2" sheetId="14" r:id="rId2"/>
    <sheet name="Sheet3" sheetId="15" r:id="rId3"/>
    <sheet name="Sheet4" sheetId="22" r:id="rId4"/>
    <sheet name="Sheet5" sheetId="16" r:id="rId5"/>
    <sheet name="Sheet6" sheetId="18" r:id="rId6"/>
  </sheets>
  <definedNames>
    <definedName name="_xlnm.Print_Area" localSheetId="0">Sheet1!$A$1:$S$61</definedName>
    <definedName name="_xlnm.Print_Area" localSheetId="1">Sheet2!$A$1:$S$36</definedName>
    <definedName name="_xlnm.Print_Area" localSheetId="2">Sheet3!$A$1:$S$50</definedName>
    <definedName name="_xlnm.Print_Area" localSheetId="3">Sheet4!$A$1:$S$53</definedName>
    <definedName name="_xlnm.Print_Area" localSheetId="4">Sheet5!$A$1:$S$67</definedName>
    <definedName name="_xlnm.Print_Area" localSheetId="5">Sheet6!$A$1:$S$63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24" i="16" l="1"/>
  <c r="AA28" i="16"/>
  <c r="E28" i="16" s="1"/>
  <c r="E24" i="16"/>
  <c r="E27" i="16"/>
  <c r="E23" i="16"/>
  <c r="W13" i="16"/>
  <c r="C18" i="18"/>
  <c r="U15" i="18"/>
  <c r="AA15" i="18" s="1"/>
  <c r="C14" i="18"/>
  <c r="U10" i="18"/>
  <c r="AA10" i="18" s="1"/>
  <c r="C9" i="18"/>
  <c r="C16" i="16"/>
  <c r="C12" i="16"/>
  <c r="Y13" i="16"/>
  <c r="Y9" i="16"/>
  <c r="W9" i="16"/>
  <c r="W33" i="15"/>
  <c r="X30" i="18"/>
  <c r="U30" i="18"/>
  <c r="AA30" i="18" s="1"/>
  <c r="C29" i="18"/>
  <c r="C27" i="18"/>
  <c r="C25" i="18"/>
  <c r="AD10" i="23"/>
  <c r="V31" i="16" l="1"/>
  <c r="X31" i="16"/>
  <c r="AC9" i="16"/>
  <c r="V17" i="16" s="1"/>
  <c r="AC13" i="16"/>
  <c r="X17" i="16" s="1"/>
  <c r="AG17" i="16" s="1"/>
  <c r="U19" i="18"/>
  <c r="C10" i="18"/>
  <c r="X19" i="18"/>
  <c r="C15" i="18"/>
  <c r="C9" i="16"/>
  <c r="C13" i="16"/>
  <c r="Q30" i="18"/>
  <c r="C30" i="18"/>
  <c r="Q45" i="22"/>
  <c r="AE44" i="22"/>
  <c r="AD16" i="22"/>
  <c r="AA44" i="22"/>
  <c r="W44" i="22"/>
  <c r="U44" i="22"/>
  <c r="U40" i="22"/>
  <c r="K51" i="23"/>
  <c r="D15" i="14"/>
  <c r="Y28" i="14"/>
  <c r="AG28" i="14"/>
  <c r="Y20" i="14"/>
  <c r="AG20" i="14"/>
  <c r="Z31" i="16" l="1"/>
  <c r="Q31" i="16" s="1"/>
  <c r="C17" i="16"/>
  <c r="P18" i="16"/>
  <c r="AA19" i="18"/>
  <c r="U20" i="18" s="1"/>
  <c r="C19" i="18"/>
  <c r="U12" i="23"/>
  <c r="AD11" i="23"/>
  <c r="C11" i="23" s="1"/>
  <c r="Q57" i="18"/>
  <c r="W50" i="22"/>
  <c r="U50" i="22"/>
  <c r="AD30" i="14"/>
  <c r="AD22" i="14"/>
  <c r="AB20" i="18" l="1"/>
  <c r="Q21" i="18" s="1"/>
  <c r="C20" i="18"/>
  <c r="X12" i="23"/>
  <c r="AA12" i="23" s="1"/>
  <c r="Q13" i="23" s="1"/>
  <c r="C10" i="23"/>
  <c r="C57" i="18"/>
  <c r="C12" i="23" l="1"/>
  <c r="AE50" i="22" l="1"/>
  <c r="AC50" i="22"/>
  <c r="AA50" i="22"/>
  <c r="Y50" i="22"/>
  <c r="AA13" i="22"/>
  <c r="AA10" i="22"/>
  <c r="Y13" i="22"/>
  <c r="Y10" i="22"/>
  <c r="AI36" i="22"/>
  <c r="AI32" i="22"/>
  <c r="W13" i="22"/>
  <c r="W10" i="22"/>
  <c r="AI41" i="15"/>
  <c r="AI40" i="15"/>
  <c r="AG41" i="15"/>
  <c r="AG40" i="15"/>
  <c r="AI35" i="15"/>
  <c r="Y29" i="15"/>
  <c r="AI20" i="15"/>
  <c r="AG20" i="15"/>
  <c r="AI21" i="15"/>
  <c r="AG21" i="15"/>
  <c r="W15" i="15"/>
  <c r="Y9" i="15"/>
  <c r="AA28" i="14"/>
  <c r="AA20" i="14"/>
  <c r="Q10" i="14"/>
  <c r="V7" i="14"/>
  <c r="AB7" i="14" s="1"/>
  <c r="AA8" i="14" s="1"/>
  <c r="Q8" i="14" s="1"/>
  <c r="X26" i="23"/>
  <c r="X23" i="23"/>
  <c r="AG56" i="16"/>
  <c r="Y46" i="18"/>
  <c r="U46" i="18"/>
  <c r="U61" i="18"/>
  <c r="W42" i="18"/>
  <c r="V41" i="23"/>
  <c r="V36" i="23"/>
  <c r="X41" i="23"/>
  <c r="X36" i="23"/>
  <c r="AM20" i="15" l="1"/>
  <c r="I58" i="23"/>
  <c r="D58" i="23"/>
  <c r="Q59" i="23" l="1"/>
  <c r="A61" i="23"/>
  <c r="AB39" i="23"/>
  <c r="Z43" i="23" s="1"/>
  <c r="AB34" i="23"/>
  <c r="C34" i="23" s="1"/>
  <c r="AL26" i="23"/>
  <c r="W28" i="23" s="1"/>
  <c r="AL23" i="23"/>
  <c r="U28" i="23" s="1"/>
  <c r="AB36" i="23" l="1"/>
  <c r="F36" i="23" s="1"/>
  <c r="AB41" i="23"/>
  <c r="F41" i="23" s="1"/>
  <c r="E26" i="23"/>
  <c r="AG28" i="23"/>
  <c r="Q30" i="23" s="1"/>
  <c r="F23" i="23"/>
  <c r="X43" i="23"/>
  <c r="C39" i="23"/>
  <c r="C28" i="23" l="1"/>
  <c r="AB43" i="23"/>
  <c r="Q44" i="23" s="1"/>
  <c r="C43" i="23" l="1"/>
  <c r="AA61" i="18" l="1"/>
  <c r="Y61" i="18"/>
  <c r="AE61" i="18" l="1"/>
  <c r="C61" i="18" s="1"/>
  <c r="C60" i="18"/>
  <c r="Q61" i="18" l="1"/>
  <c r="AA34" i="18" l="1"/>
  <c r="W38" i="18" s="1"/>
  <c r="AA36" i="18"/>
  <c r="Y38" i="18" s="1"/>
  <c r="C48" i="22"/>
  <c r="C49" i="22"/>
  <c r="C50" i="18"/>
  <c r="C52" i="18"/>
  <c r="W54" i="18"/>
  <c r="Y54" i="18"/>
  <c r="C43" i="22"/>
  <c r="AO50" i="22" l="1"/>
  <c r="U51" i="22" s="1"/>
  <c r="C36" i="18"/>
  <c r="AA38" i="18"/>
  <c r="Q38" i="18" s="1"/>
  <c r="C34" i="18"/>
  <c r="AA54" i="18"/>
  <c r="Q54" i="18" s="1"/>
  <c r="AD51" i="22" l="1"/>
  <c r="Q51" i="22" s="1"/>
  <c r="C50" i="22"/>
  <c r="C38" i="18"/>
  <c r="C54" i="18"/>
  <c r="C51" i="22" l="1"/>
  <c r="C41" i="18"/>
  <c r="C45" i="18"/>
  <c r="C55" i="16"/>
  <c r="C49" i="16"/>
  <c r="AA44" i="16"/>
  <c r="AE44" i="16" s="1"/>
  <c r="W46" i="16" s="1"/>
  <c r="AA43" i="16"/>
  <c r="C42" i="16"/>
  <c r="AA37" i="16"/>
  <c r="AE37" i="16" s="1"/>
  <c r="AA36" i="16"/>
  <c r="AE36" i="16" s="1"/>
  <c r="C35" i="16"/>
  <c r="V37" i="22"/>
  <c r="W40" i="22" l="1"/>
  <c r="C37" i="22"/>
  <c r="V33" i="22"/>
  <c r="C32" i="22"/>
  <c r="AE42" i="18"/>
  <c r="Q42" i="18" s="1"/>
  <c r="AC46" i="18"/>
  <c r="Q46" i="18" s="1"/>
  <c r="Q57" i="16"/>
  <c r="AE43" i="16"/>
  <c r="AC39" i="16"/>
  <c r="U50" i="16" s="1"/>
  <c r="U39" i="16"/>
  <c r="C36" i="16"/>
  <c r="C44" i="16"/>
  <c r="C37" i="16"/>
  <c r="W39" i="16"/>
  <c r="U46" i="16" l="1"/>
  <c r="AC46" i="16"/>
  <c r="X50" i="16" s="1"/>
  <c r="AA50" i="16" s="1"/>
  <c r="Q50" i="16" s="1"/>
  <c r="C33" i="22"/>
  <c r="Z40" i="22"/>
  <c r="C42" i="18"/>
  <c r="C46" i="18"/>
  <c r="C56" i="16"/>
  <c r="C43" i="16"/>
  <c r="C39" i="16"/>
  <c r="AD40" i="22" l="1"/>
  <c r="C40" i="22" s="1"/>
  <c r="C46" i="16"/>
  <c r="C50" i="16"/>
  <c r="C39" i="15" l="1"/>
  <c r="AG35" i="15"/>
  <c r="Y35" i="15"/>
  <c r="W35" i="15"/>
  <c r="Y33" i="15"/>
  <c r="AA33" i="15"/>
  <c r="Z30" i="15"/>
  <c r="X30" i="15"/>
  <c r="V30" i="15"/>
  <c r="B29" i="15"/>
  <c r="AI15" i="15"/>
  <c r="AG15" i="15"/>
  <c r="Y15" i="15"/>
  <c r="Y13" i="15"/>
  <c r="W13" i="15"/>
  <c r="X10" i="15"/>
  <c r="Z10" i="15"/>
  <c r="AY15" i="14"/>
  <c r="AB30" i="15" l="1"/>
  <c r="W45" i="15" s="1"/>
  <c r="AM41" i="15"/>
  <c r="W41" i="15" s="1"/>
  <c r="AC41" i="15" s="1"/>
  <c r="Y42" i="15" s="1"/>
  <c r="AM40" i="15"/>
  <c r="W40" i="15" s="1"/>
  <c r="AC40" i="15" s="1"/>
  <c r="AM35" i="15"/>
  <c r="AA35" i="15" s="1"/>
  <c r="AC35" i="15" s="1"/>
  <c r="Y36" i="15"/>
  <c r="D33" i="15"/>
  <c r="D30" i="15"/>
  <c r="AM15" i="15"/>
  <c r="AA15" i="15" s="1"/>
  <c r="AC15" i="15" s="1"/>
  <c r="AA16" i="15" s="1"/>
  <c r="AA13" i="15"/>
  <c r="C40" i="15" l="1"/>
  <c r="U42" i="15"/>
  <c r="AC42" i="15"/>
  <c r="Y45" i="15" s="1"/>
  <c r="C41" i="15"/>
  <c r="D13" i="15"/>
  <c r="AC16" i="15"/>
  <c r="AA25" i="15" s="1"/>
  <c r="Y16" i="15"/>
  <c r="D15" i="15"/>
  <c r="D16" i="15" l="1"/>
  <c r="AA36" i="15"/>
  <c r="AC36" i="15"/>
  <c r="AA45" i="15" s="1"/>
  <c r="D35" i="15"/>
  <c r="C42" i="15"/>
  <c r="AG45" i="15"/>
  <c r="D36" i="15" l="1"/>
  <c r="F45" i="15"/>
  <c r="Z48" i="15"/>
  <c r="Q30" i="14"/>
  <c r="Y32" i="14" s="1"/>
  <c r="D27" i="14"/>
  <c r="Q22" i="14"/>
  <c r="Y24" i="14" s="1"/>
  <c r="AE20" i="14"/>
  <c r="R11" i="14"/>
  <c r="Q13" i="14" s="1"/>
  <c r="Q20" i="14" l="1"/>
  <c r="W24" i="14" s="1"/>
  <c r="R24" i="14" s="1"/>
  <c r="D30" i="14"/>
  <c r="AE28" i="14"/>
  <c r="Q28" i="14" s="1"/>
  <c r="W32" i="14" s="1"/>
  <c r="R32" i="14" s="1"/>
  <c r="D20" i="14"/>
  <c r="D7" i="14"/>
  <c r="D28" i="14" l="1"/>
  <c r="W34" i="14" l="1"/>
  <c r="F24" i="14"/>
  <c r="F32" i="14" l="1"/>
  <c r="Y34" i="14"/>
  <c r="C36" i="22" l="1"/>
  <c r="C35" i="22"/>
  <c r="V10" i="15" l="1"/>
  <c r="AB10" i="15" s="1"/>
  <c r="B9" i="15"/>
  <c r="D22" i="14"/>
  <c r="AM21" i="15" l="1"/>
  <c r="W21" i="15" s="1"/>
  <c r="D10" i="15" l="1"/>
  <c r="W25" i="15"/>
  <c r="W20" i="15"/>
  <c r="AC20" i="15" s="1"/>
  <c r="AC21" i="15"/>
  <c r="Y22" i="15" s="1"/>
  <c r="AC22" i="15" l="1"/>
  <c r="U22" i="15"/>
  <c r="C20" i="15"/>
  <c r="Y25" i="15"/>
  <c r="AG25" i="15" s="1"/>
  <c r="W48" i="15" s="1"/>
  <c r="AB48" i="15" s="1"/>
  <c r="Q48" i="15" s="1"/>
  <c r="C21" i="15"/>
  <c r="C48" i="15" l="1"/>
  <c r="F25" i="15"/>
  <c r="A53" i="22" l="1"/>
  <c r="C26" i="22" l="1"/>
  <c r="C23" i="22"/>
  <c r="AD21" i="22" l="1"/>
  <c r="AD24" i="22"/>
  <c r="C39" i="22"/>
  <c r="C31" i="22"/>
  <c r="C20" i="22"/>
  <c r="C15" i="22"/>
  <c r="AC13" i="22"/>
  <c r="W16" i="22" s="1"/>
  <c r="C12" i="22"/>
  <c r="C9" i="22"/>
  <c r="C24" i="22" l="1"/>
  <c r="W27" i="22"/>
  <c r="C21" i="22"/>
  <c r="U27" i="22"/>
  <c r="AC10" i="22"/>
  <c r="C10" i="22" s="1"/>
  <c r="C13" i="22"/>
  <c r="Z27" i="22" l="1"/>
  <c r="U16" i="22"/>
  <c r="Z16" i="22" s="1"/>
  <c r="AD27" i="22" l="1"/>
  <c r="C27" i="22" s="1"/>
  <c r="C16" i="22"/>
  <c r="C44" i="22" l="1"/>
  <c r="A63" i="18"/>
  <c r="A50" i="15" l="1"/>
  <c r="C19" i="15" l="1"/>
  <c r="A36" i="14" l="1"/>
  <c r="C22" i="15" l="1"/>
  <c r="A58" i="16" l="1"/>
  <c r="D19" i="14" l="1"/>
  <c r="D10" i="14"/>
  <c r="D8" i="14"/>
  <c r="D11" i="14" l="1"/>
  <c r="AA15" i="14" l="1"/>
  <c r="Q15" i="14" s="1"/>
  <c r="U34" i="14" s="1"/>
  <c r="AE34" i="14" s="1"/>
  <c r="E34" i="14" l="1"/>
  <c r="Q34" i="14" l="1"/>
</calcChain>
</file>

<file path=xl/sharedStrings.xml><?xml version="1.0" encoding="utf-8"?>
<sst xmlns="http://schemas.openxmlformats.org/spreadsheetml/2006/main" count="873" uniqueCount="328">
  <si>
    <t>Structure Quantities</t>
  </si>
  <si>
    <t>Calc'd By:</t>
  </si>
  <si>
    <t>Date:</t>
  </si>
  <si>
    <t>Proj.:</t>
  </si>
  <si>
    <t>Chk'd By:</t>
  </si>
  <si>
    <t>PID:</t>
  </si>
  <si>
    <t>Sht:</t>
  </si>
  <si>
    <t>of</t>
  </si>
  <si>
    <t xml:space="preserve"> ft x </t>
  </si>
  <si>
    <t xml:space="preserve"> ft</t>
  </si>
  <si>
    <t xml:space="preserve"> ft = </t>
  </si>
  <si>
    <t>LUMP</t>
  </si>
  <si>
    <t xml:space="preserve">  ITEM 202 E 22900 - APPROACH SLAB REMOVED   </t>
  </si>
  <si>
    <t xml:space="preserve">A = </t>
  </si>
  <si>
    <t xml:space="preserve">Width x Length = </t>
  </si>
  <si>
    <t xml:space="preserve"> / </t>
  </si>
  <si>
    <t xml:space="preserve"> ) = </t>
  </si>
  <si>
    <t xml:space="preserve">USE   </t>
  </si>
  <si>
    <t>USE</t>
  </si>
  <si>
    <t>EACH</t>
  </si>
  <si>
    <t>sq ft</t>
  </si>
  <si>
    <t xml:space="preserve">) (ft/in) x </t>
  </si>
  <si>
    <t xml:space="preserve">" x </t>
  </si>
  <si>
    <t xml:space="preserve"> beams = </t>
  </si>
  <si>
    <t xml:space="preserve">TRAN. SEC. AREA = </t>
  </si>
  <si>
    <t xml:space="preserve">V deck = </t>
  </si>
  <si>
    <t xml:space="preserve"> sq ft x (</t>
  </si>
  <si>
    <t xml:space="preserve"> cu yd</t>
  </si>
  <si>
    <t>Abutment Diaphragms</t>
  </si>
  <si>
    <t>Rear Abutment</t>
  </si>
  <si>
    <t>Diaphragm.:</t>
  </si>
  <si>
    <t xml:space="preserve">L = </t>
  </si>
  <si>
    <t xml:space="preserve"> </t>
  </si>
  <si>
    <t xml:space="preserve"> cu ft </t>
  </si>
  <si>
    <t xml:space="preserve">) = </t>
  </si>
  <si>
    <t xml:space="preserve"> sq ft x </t>
  </si>
  <si>
    <t xml:space="preserve"> cu ft</t>
  </si>
  <si>
    <t xml:space="preserve">Rear Abutment Sub-Total = </t>
  </si>
  <si>
    <t>(</t>
  </si>
  <si>
    <t xml:space="preserve"> + </t>
  </si>
  <si>
    <t xml:space="preserve"> - </t>
  </si>
  <si>
    <t>Forward Abutment</t>
  </si>
  <si>
    <t xml:space="preserve">Item Total = </t>
  </si>
  <si>
    <t xml:space="preserve"> CU YD</t>
  </si>
  <si>
    <t xml:space="preserve"> = </t>
  </si>
  <si>
    <t xml:space="preserve">   SQ YD</t>
  </si>
  <si>
    <t xml:space="preserve"> x </t>
  </si>
  <si>
    <t xml:space="preserve"> sq ft</t>
  </si>
  <si>
    <t xml:space="preserve"> x (</t>
  </si>
  <si>
    <t xml:space="preserve">Vrww = </t>
  </si>
  <si>
    <t xml:space="preserve">Vfa = </t>
  </si>
  <si>
    <t>Item Total</t>
  </si>
  <si>
    <t xml:space="preserve">Vt = </t>
  </si>
  <si>
    <t xml:space="preserve">  ITEM 512 E 10100 - SEALING OF CONCRETE SURFACES (EPOXY-URETHANE)</t>
  </si>
  <si>
    <t xml:space="preserve">  ITEM 512 E 33000 - TYPE 2 WATERPROOFING</t>
  </si>
  <si>
    <t>Length x Width</t>
  </si>
  <si>
    <t xml:space="preserve"> ft + </t>
  </si>
  <si>
    <t xml:space="preserve"> ft </t>
  </si>
  <si>
    <t xml:space="preserve"> sq yd</t>
  </si>
  <si>
    <t xml:space="preserve"> SQ YD</t>
  </si>
  <si>
    <t xml:space="preserve"> SQ FT</t>
  </si>
  <si>
    <t xml:space="preserve">Ar = </t>
  </si>
  <si>
    <t xml:space="preserve">Af = </t>
  </si>
  <si>
    <t xml:space="preserve">Lr = </t>
  </si>
  <si>
    <t xml:space="preserve">Lf = </t>
  </si>
  <si>
    <t xml:space="preserve">Lt = </t>
  </si>
  <si>
    <t>Lr + Lf</t>
  </si>
  <si>
    <t>Length x Average Height x Thickness</t>
  </si>
  <si>
    <t>Vr + Vf</t>
  </si>
  <si>
    <t>/</t>
  </si>
  <si>
    <t>CU YD</t>
  </si>
  <si>
    <t xml:space="preserve">  ITEM 518 E 40000 - 6" PERFORATED CORRUGATED PLASTIC PIPE</t>
  </si>
  <si>
    <t>FT</t>
  </si>
  <si>
    <t>SQ YD</t>
  </si>
  <si>
    <t xml:space="preserve"> sq ft + </t>
  </si>
  <si>
    <t>Abutment Sub-total</t>
  </si>
  <si>
    <t xml:space="preserve">Aascs = </t>
  </si>
  <si>
    <t xml:space="preserve"> sq ft = </t>
  </si>
  <si>
    <t>*CADD Measured Areas</t>
  </si>
  <si>
    <t>Deck Edges</t>
  </si>
  <si>
    <t xml:space="preserve">Adscs = </t>
  </si>
  <si>
    <t xml:space="preserve"> ft) x </t>
  </si>
  <si>
    <t xml:space="preserve">Total L = </t>
  </si>
  <si>
    <t xml:space="preserve"> FT x </t>
  </si>
  <si>
    <t xml:space="preserve"> FT x (</t>
  </si>
  <si>
    <t xml:space="preserve">V1R = </t>
  </si>
  <si>
    <t xml:space="preserve">V1L = </t>
  </si>
  <si>
    <t>Total</t>
  </si>
  <si>
    <t xml:space="preserve">Vra + </t>
  </si>
  <si>
    <t xml:space="preserve"> cu yd = </t>
  </si>
  <si>
    <t>[(</t>
  </si>
  <si>
    <t xml:space="preserve">] ft x </t>
  </si>
  <si>
    <t xml:space="preserve">  ITEM 518 E 21200 - POROUS BACKFILL WITH GEOTEXTILE FABRIC</t>
  </si>
  <si>
    <t>Arfront + Artop + Arside + Arback</t>
  </si>
  <si>
    <t xml:space="preserve">*Arascs = </t>
  </si>
  <si>
    <t xml:space="preserve">*Afascs = </t>
  </si>
  <si>
    <t>Arascs + Afascs</t>
  </si>
  <si>
    <t>Pier Sub-total</t>
  </si>
  <si>
    <t xml:space="preserve">Apscs = </t>
  </si>
  <si>
    <t xml:space="preserve">  ITEM 202 E 11203 - PORTIONS OF STRUCTURE REMOVED, OVER 20 FOOT SPAN, AS PER PLAN     </t>
  </si>
  <si>
    <t xml:space="preserve">  ITEM 503 E 21100 - UNCLASSIFIED EXCAVATION    </t>
  </si>
  <si>
    <t xml:space="preserve">Total = </t>
  </si>
  <si>
    <t xml:space="preserve">Total V = </t>
  </si>
  <si>
    <t xml:space="preserve">T = </t>
  </si>
  <si>
    <t xml:space="preserve">V = </t>
  </si>
  <si>
    <t>Proposed Widening:</t>
  </si>
  <si>
    <t xml:space="preserve"> cu ft + </t>
  </si>
  <si>
    <t xml:space="preserve"> cu ft) x (</t>
  </si>
  <si>
    <t xml:space="preserve"> SQ YD + </t>
  </si>
  <si>
    <t xml:space="preserve"> SQ YD = </t>
  </si>
  <si>
    <t xml:space="preserve">V deduct1 = </t>
  </si>
  <si>
    <t xml:space="preserve">SAR1 x </t>
  </si>
  <si>
    <t xml:space="preserve">SAL1 x </t>
  </si>
  <si>
    <t>Wingwalls (T = 2'-6")</t>
  </si>
  <si>
    <t>Forward Abutment (Avg. Elev. per Abutment Detail Sheet)</t>
  </si>
  <si>
    <t>Rear Abutment (Avg. Elev. per Abutment Detail Sheet)</t>
  </si>
  <si>
    <t xml:space="preserve"> (</t>
  </si>
  <si>
    <t xml:space="preserve">Aldscs = </t>
  </si>
  <si>
    <t>Left Side</t>
  </si>
  <si>
    <t>Right Side</t>
  </si>
  <si>
    <t xml:space="preserve">Ardscs = </t>
  </si>
  <si>
    <t>Perimeter x Length</t>
  </si>
  <si>
    <t>Deck Edge Sub-total</t>
  </si>
  <si>
    <t>Aldscs + Ardscs</t>
  </si>
  <si>
    <t>Abutments</t>
  </si>
  <si>
    <t xml:space="preserve"> Forward = </t>
  </si>
  <si>
    <t xml:space="preserve"> Rear = </t>
  </si>
  <si>
    <t>Spacing Typical Both Sides</t>
  </si>
  <si>
    <t>Piers</t>
  </si>
  <si>
    <t>*</t>
  </si>
  <si>
    <t>Breastwall</t>
  </si>
  <si>
    <t xml:space="preserve">Diaphragm Depth =  </t>
  </si>
  <si>
    <t xml:space="preserve">     </t>
  </si>
  <si>
    <t xml:space="preserve">' + </t>
  </si>
  <si>
    <t xml:space="preserve">') / </t>
  </si>
  <si>
    <t xml:space="preserve">   Ave. L = (</t>
  </si>
  <si>
    <t xml:space="preserve">ft x </t>
  </si>
  <si>
    <t xml:space="preserve">         Ave. L = (</t>
  </si>
  <si>
    <t xml:space="preserve">V rbw + V rww - V deduct = </t>
  </si>
  <si>
    <t xml:space="preserve">V rbw = </t>
  </si>
  <si>
    <t>Rear Abutment Sub-total (V ra)</t>
  </si>
  <si>
    <t xml:space="preserve">V fbw = </t>
  </si>
  <si>
    <t xml:space="preserve">Ar1 = </t>
  </si>
  <si>
    <t xml:space="preserve">Ar2 = </t>
  </si>
  <si>
    <t xml:space="preserve">Af1 = </t>
  </si>
  <si>
    <t xml:space="preserve">Af2 = </t>
  </si>
  <si>
    <t>Ap1scs + Ap2scs</t>
  </si>
  <si>
    <t>(Average Length x Depth x Height)</t>
  </si>
  <si>
    <t>ITEM 507 E 71200 - SPECIAL - PILE ENCASEMENT</t>
  </si>
  <si>
    <t>Rear Pier</t>
  </si>
  <si>
    <t>L =</t>
  </si>
  <si>
    <t>Forward Pier</t>
  </si>
  <si>
    <t xml:space="preserve">( </t>
  </si>
  <si>
    <t xml:space="preserve"> ft. x </t>
  </si>
  <si>
    <t>* Average Depth</t>
  </si>
  <si>
    <t xml:space="preserve"> ft. = </t>
  </si>
  <si>
    <t xml:space="preserve"> cu ft x ( </t>
  </si>
  <si>
    <t xml:space="preserve">  ITEM 518 E 40010 - 6" NON-PERFORATED CORRUGATED PLASTIC PIPE, INCLUDING SPECIALS</t>
  </si>
  <si>
    <t xml:space="preserve">Lrl + </t>
  </si>
  <si>
    <t xml:space="preserve">Lrr = </t>
  </si>
  <si>
    <t xml:space="preserve">Lfl + </t>
  </si>
  <si>
    <t xml:space="preserve">Lfr = </t>
  </si>
  <si>
    <t xml:space="preserve"> Each</t>
  </si>
  <si>
    <t xml:space="preserve"> Each + </t>
  </si>
  <si>
    <t xml:space="preserve"> Each = </t>
  </si>
  <si>
    <t>(Edge Beam / Main Slab / Edge Beam)</t>
  </si>
  <si>
    <t xml:space="preserve">Main Slab: </t>
  </si>
  <si>
    <t xml:space="preserve"> ft. - ( </t>
  </si>
  <si>
    <t xml:space="preserve"> Each)) = </t>
  </si>
  <si>
    <t xml:space="preserve">Main Slab Width: </t>
  </si>
  <si>
    <t xml:space="preserve">Edge Beam: </t>
  </si>
  <si>
    <t>" (thick)  x (</t>
  </si>
  <si>
    <t xml:space="preserve">  ft. (width) = </t>
  </si>
  <si>
    <t xml:space="preserve">  ft. (width) x  </t>
  </si>
  <si>
    <t xml:space="preserve">Chamfer: </t>
  </si>
  <si>
    <t xml:space="preserve"> chamfers ) x ( </t>
  </si>
  <si>
    <t xml:space="preserve">" ) x </t>
  </si>
  <si>
    <t xml:space="preserve">{[ </t>
  </si>
  <si>
    <t xml:space="preserve">Transverse Section Area </t>
  </si>
  <si>
    <t xml:space="preserve"> ft, Diaphagm Width = </t>
  </si>
  <si>
    <t xml:space="preserve">  ft.</t>
  </si>
  <si>
    <t xml:space="preserve"> ] x </t>
  </si>
  <si>
    <t>Shear Key:</t>
  </si>
  <si>
    <t xml:space="preserve">Area Face of Diaphragm =  { </t>
  </si>
  <si>
    <t>cu ft</t>
  </si>
  <si>
    <t xml:space="preserve"> ft. Depth = </t>
  </si>
  <si>
    <t xml:space="preserve">" (wide) x </t>
  </si>
  <si>
    <t xml:space="preserve">[( </t>
  </si>
  <si>
    <t xml:space="preserve"> sq ft/ sq in x </t>
  </si>
  <si>
    <t xml:space="preserve">" (height)] x </t>
  </si>
  <si>
    <t xml:space="preserve">Forward Abutment Sub-Total = </t>
  </si>
  <si>
    <t>cu yd</t>
  </si>
  <si>
    <t xml:space="preserve"> cu yd + </t>
  </si>
  <si>
    <t xml:space="preserve">  ITEM 516 E 13600 - 1" PREFORMED EXPANSION JOINT FILLER</t>
  </si>
  <si>
    <t>(Top Elev. - Bot. Elev.)  x wingwall thickness / cos (skew angle)</t>
  </si>
  <si>
    <t xml:space="preserve">) x </t>
  </si>
  <si>
    <t xml:space="preserve"> ft / cos </t>
  </si>
  <si>
    <t xml:space="preserve">⁰ = </t>
  </si>
  <si>
    <t xml:space="preserve">Depth =  </t>
  </si>
  <si>
    <t xml:space="preserve"> ft;  Length = </t>
  </si>
  <si>
    <t xml:space="preserve"> ft; Height = </t>
  </si>
  <si>
    <t xml:space="preserve">Depth x Length x Height = </t>
  </si>
  <si>
    <t xml:space="preserve"> ft =  </t>
  </si>
  <si>
    <t>Deduct for Breastwall Shear Key (Length x Width x Depth)</t>
  </si>
  <si>
    <t>Deduct for Breastwall Drains (No. of Drains x Length x Width x Depth)</t>
  </si>
  <si>
    <t xml:space="preserve"> each x </t>
  </si>
  <si>
    <t xml:space="preserve">   Ave. D = (</t>
  </si>
  <si>
    <t xml:space="preserve"> ft ) = </t>
  </si>
  <si>
    <t xml:space="preserve">V deduct2 = </t>
  </si>
  <si>
    <t>Deduct Total =</t>
  </si>
  <si>
    <t xml:space="preserve">(V deduct1 + V deduct2) = </t>
  </si>
  <si>
    <t xml:space="preserve"> cu ft = </t>
  </si>
  <si>
    <t>Forward Abutment Sub-total (V fa)</t>
  </si>
  <si>
    <t xml:space="preserve">Vfww = </t>
  </si>
  <si>
    <t xml:space="preserve">V fbw + V fww - V deduct = </t>
  </si>
  <si>
    <t>V1R/V1L = Const. Jt. to Top Face</t>
  </si>
  <si>
    <t xml:space="preserve">At = </t>
  </si>
  <si>
    <t>Ar + Af</t>
  </si>
  <si>
    <t>(See 2004 BDM Section 303.2.1.4 and CPA-1-08 for location and width)</t>
  </si>
  <si>
    <t>Abutment Width Limits @ Centerline 6" Pipe</t>
  </si>
  <si>
    <t xml:space="preserve">Vra = </t>
  </si>
  <si>
    <t xml:space="preserve">Aas = </t>
  </si>
  <si>
    <t xml:space="preserve"> ft x (</t>
  </si>
  <si>
    <t>Rear + Forward</t>
  </si>
  <si>
    <t xml:space="preserve">  ITEM 526 E 90010 - TYPE A INSTALLATION</t>
  </si>
  <si>
    <t xml:space="preserve">⁰ + </t>
  </si>
  <si>
    <t xml:space="preserve"> sq ft - (</t>
  </si>
  <si>
    <t>(Afrfront + Afback + AfsideL + AfsideR + Afbot - (No. col x Afcol)</t>
  </si>
  <si>
    <t xml:space="preserve">*Ap2scs = </t>
  </si>
  <si>
    <t xml:space="preserve">*Ap1scs = </t>
  </si>
  <si>
    <t xml:space="preserve">Atscs = </t>
  </si>
  <si>
    <t>Aascs + Adscs + Apscs</t>
  </si>
  <si>
    <t xml:space="preserve">⁰ x  </t>
  </si>
  <si>
    <t xml:space="preserve"> ft x  </t>
  </si>
  <si>
    <t>L x W x 2 approach slabs</t>
  </si>
  <si>
    <t xml:space="preserve">  ITEM 846 E 00110 - POLYMER MODIFIED ASPHALT EXPANSION JOINT SYSTEM</t>
  </si>
  <si>
    <t>CU FT</t>
  </si>
  <si>
    <t>L x W x D x 2 approach slabs</t>
  </si>
  <si>
    <t>Perimeter x Length (Along Skew)</t>
  </si>
  <si>
    <t>(Arfront + Arback + ArsideL + ArsideR + Arbot - (No. col x Arcol) + (No. col x Arcolcap)</t>
  </si>
  <si>
    <t xml:space="preserve"> sq ft ) + ( </t>
  </si>
  <si>
    <t xml:space="preserve"> sq ft ) =</t>
  </si>
  <si>
    <t>Rear Pier (Excavation within Sheet Pile Cofferdam)(For informational purposes only)</t>
  </si>
  <si>
    <t>Forward Pier (Excavation within Sheet Pile Cofferdam)(For informational purposes only)</t>
  </si>
  <si>
    <t>Proposed Excavation:</t>
  </si>
  <si>
    <t xml:space="preserve"> ft.) + (  </t>
  </si>
  <si>
    <t xml:space="preserve"> sides) = </t>
  </si>
  <si>
    <t xml:space="preserve">(Total Slab Width - (Edge Beam Width x 2)) = ( </t>
  </si>
  <si>
    <t xml:space="preserve"> ft ) / </t>
  </si>
  <si>
    <t>Rear Abutment (From Bottom Ex. Approach Slab to Bottom of Footing Along Back and Sides)(Cadd Areas with 1.5:1 slopes)</t>
  </si>
  <si>
    <t>Forward Abutment (From Bottom Ex. Approach Slab to Bottom of Footing Along Back and Sides)(Cadd Areas with 1.5:1 slopes)</t>
  </si>
  <si>
    <t>ITEM 510 E 10000 - DOWEL HOLES WITH NONSHRINK, NONMETALLIC GROUT</t>
  </si>
  <si>
    <t>REAR ABUTMENT</t>
  </si>
  <si>
    <t>FORWARD ABUTMENT</t>
  </si>
  <si>
    <t>Bar Mark</t>
  </si>
  <si>
    <t>No.</t>
  </si>
  <si>
    <t xml:space="preserve"> - - - </t>
  </si>
  <si>
    <t xml:space="preserve">SUB - TOTAL = </t>
  </si>
  <si>
    <t>AD501</t>
  </si>
  <si>
    <t>AD502</t>
  </si>
  <si>
    <t xml:space="preserve"> ITEM 503 E 11100 - COFFERDAMS AND EXCAVATION BRACING</t>
  </si>
  <si>
    <t>SEE PLANS FOR LOCATIONS</t>
  </si>
  <si>
    <t>MJH</t>
  </si>
  <si>
    <t>HOL-179-3.89</t>
  </si>
  <si>
    <t>Quantity calc correct, sheet reference needs updated</t>
  </si>
  <si>
    <t>Finished</t>
  </si>
  <si>
    <t>Check after elevations are corrected by MVC</t>
  </si>
  <si>
    <t xml:space="preserve">  ITEM 517 E 70100 - RAILING (THREE STEEL TUBE BRIDGE RAILING)</t>
  </si>
  <si>
    <t xml:space="preserve">First Post Off Bridge (FPOB); </t>
  </si>
  <si>
    <t xml:space="preserve"> spaces x </t>
  </si>
  <si>
    <t xml:space="preserve"> sides = </t>
  </si>
  <si>
    <t xml:space="preserve"> ft -  </t>
  </si>
  <si>
    <t>[(FPOB to 1st post - 11.625" per SCD TST-2-21) x 4 ends] + (even spacing x no. of spaces x 2 sides)</t>
  </si>
  <si>
    <t xml:space="preserve"> ends] + </t>
  </si>
  <si>
    <t xml:space="preserve">/12) x </t>
  </si>
  <si>
    <t>) sq ft/ sq in ]} =</t>
  </si>
  <si>
    <t>Lrvdgr + Lrvdgl + Lrhcj+ Lfvdgr + Lfvdgl + Lfhcj</t>
  </si>
  <si>
    <t>SEE SHEETS SR001, SF001 AND SP001 FOR QUANTITY SKETCHES</t>
  </si>
  <si>
    <t xml:space="preserve"> ITEM 509 E 10000 - EPOXY COATED STEEL REINFORCEMENT</t>
  </si>
  <si>
    <t>See sheets SR001, SF001 for quantity sketches</t>
  </si>
  <si>
    <t>See sheets SI001 and SI002 for quantity sketches</t>
  </si>
  <si>
    <t xml:space="preserve"> ITEM 509 E 20000 - CONCRETE REINFORCEMENT, REPLACEMENT OF EXISTING CONCRETE REINFORCEMENT</t>
  </si>
  <si>
    <t xml:space="preserve">  ITEM 202 E 98000 - REMOVAL MISC.: OEPA NOTIFICATION OF DEMOLITION</t>
  </si>
  <si>
    <t xml:space="preserve">  ITEM 625 E 33000 - STRUCTURE GROUNDING SYSTEM</t>
  </si>
  <si>
    <t xml:space="preserve"> each</t>
  </si>
  <si>
    <t>LB</t>
  </si>
  <si>
    <t>HOL-179-3.89 STRUCTURE CALCS</t>
  </si>
  <si>
    <t xml:space="preserve">  ITEM 526 E 10010 - REINFORCED CONCRETE APPROACH SLABS WITH QC/QA (T=12")</t>
  </si>
  <si>
    <t xml:space="preserve">  ITEM 611 E 99710 - PRECAST REINFORCED CONCRETE OUTLET</t>
  </si>
  <si>
    <t xml:space="preserve">   CU YD</t>
  </si>
  <si>
    <t xml:space="preserve">L (Bridge Limits) x Trans Sec Area = </t>
  </si>
  <si>
    <t xml:space="preserve"> ft} x  </t>
  </si>
  <si>
    <t>MVC</t>
  </si>
  <si>
    <t>SEE STRUCTURE SHEET 21/21</t>
  </si>
  <si>
    <t xml:space="preserve"> sq ft / </t>
  </si>
  <si>
    <t xml:space="preserve"> sq yd + </t>
  </si>
  <si>
    <t xml:space="preserve"> sq ft =  </t>
  </si>
  <si>
    <t xml:space="preserve"> ITEM 511 E 32212 - CLASS QC2 CONCRETE WITH QC/QA, SUPERSTRUCTURE</t>
  </si>
  <si>
    <t xml:space="preserve">  ITEM 511 E 44112 - CLASS QC1 CONCRETE WITH QC/QA, ABUTMENT NOT INCLUDING FOOTING</t>
  </si>
  <si>
    <t>ITEM 513 E 10201 - STRUCTURAL STEEL MEMBERS, LEVEL UF, AS PER PLAN</t>
  </si>
  <si>
    <t>Volume =</t>
  </si>
  <si>
    <t>Length x Width x Thickness x No. of Sides</t>
  </si>
  <si>
    <t xml:space="preserve">Item Total </t>
  </si>
  <si>
    <t xml:space="preserve">Weight = </t>
  </si>
  <si>
    <t xml:space="preserve"> ) cu ft x </t>
  </si>
  <si>
    <t xml:space="preserve"> lb/cu ft</t>
  </si>
  <si>
    <t xml:space="preserve"> Pier Piles = </t>
  </si>
  <si>
    <t xml:space="preserve"> lb </t>
  </si>
  <si>
    <t xml:space="preserve"> LB</t>
  </si>
  <si>
    <t>Flange Repair Plates - 11" x 1/2" x 2'-6"</t>
  </si>
  <si>
    <t>Web Repair Plates - 8 1/2" x 3/8" x 2'-6"</t>
  </si>
  <si>
    <t>Volume of plates x Unit Weight of Steel x Total No. of Pier Piles</t>
  </si>
  <si>
    <t xml:space="preserve"> ft/</t>
  </si>
  <si>
    <t xml:space="preserve">in) = </t>
  </si>
  <si>
    <t>Flange Repair Plate FL = (Horz Weld L + Vertical Weld L) x 2 sides x Number of Plates Per Pile x Number of Piles</t>
  </si>
  <si>
    <t xml:space="preserve">Flange Repair L = </t>
  </si>
  <si>
    <t xml:space="preserve"> inches per horz. weld + </t>
  </si>
  <si>
    <t xml:space="preserve"> inches per vert. weld) x </t>
  </si>
  <si>
    <t xml:space="preserve"> sides x </t>
  </si>
  <si>
    <t>( (</t>
  </si>
  <si>
    <t xml:space="preserve"> plates per pile x </t>
  </si>
  <si>
    <t xml:space="preserve"> Pier Piles x </t>
  </si>
  <si>
    <t>Web Repair Plate FL = (Horz Weld L + Vertical Weld L) x 2 sides x Number of Plates Per Pile x Number of Piles</t>
  </si>
  <si>
    <t>30 ft + 81.9 ft + 9 ft = 120.9 ft</t>
  </si>
  <si>
    <t xml:space="preserve">Web Repair L = </t>
  </si>
  <si>
    <t>Flange Repair L + Web Repair L</t>
  </si>
  <si>
    <t xml:space="preserve"> FT</t>
  </si>
  <si>
    <t>ITEM 513 E 95000 STRUCTURAL STEEL MISC.: REPAIR OF PIER PILES (FILLET WELDING)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</si>
</sst>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0"/>
      <color rgb="FFFA7D00"/>
      <name val="Arial"/>
      <family val="2"/>
    </font>
    <font>
      <sz val="10"/>
      <color rgb="FF3F3F76"/>
      <name val="Arial"/>
      <family val="2"/>
    </font>
    <font>
      <i/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u/>
      <sz val="10"/>
      <name val="Calibri"/>
      <family val="2"/>
      <scheme val="minor"/>
    </font>
    <font>
      <sz val="10"/>
      <color theme="1"/>
      <name val="Calibri"/>
      <family val="2"/>
    </font>
    <font>
      <b/>
      <i/>
      <u/>
      <sz val="10"/>
      <name val="Calibri"/>
      <family val="2"/>
      <scheme val="minor"/>
    </font>
    <font>
      <sz val="10"/>
      <color theme="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3" borderId="1" applyNumberFormat="0" applyAlignment="0" applyProtection="0"/>
    <xf numFmtId="0" fontId="6" fillId="2" borderId="1" applyNumberFormat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5" borderId="4" xfId="0" applyFont="1" applyFill="1" applyBorder="1"/>
    <xf numFmtId="0" fontId="3" fillId="0" borderId="0" xfId="0" applyFont="1"/>
    <xf numFmtId="0" fontId="7" fillId="0" borderId="0" xfId="0" applyFont="1"/>
    <xf numFmtId="0" fontId="2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Border="1"/>
    <xf numFmtId="0" fontId="9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/>
    <xf numFmtId="0" fontId="3" fillId="4" borderId="0" xfId="0" applyFont="1" applyFill="1"/>
    <xf numFmtId="2" fontId="3" fillId="4" borderId="0" xfId="0" applyNumberFormat="1" applyFont="1" applyFill="1"/>
    <xf numFmtId="2" fontId="3" fillId="0" borderId="0" xfId="0" applyNumberFormat="1" applyFont="1"/>
    <xf numFmtId="0" fontId="8" fillId="0" borderId="0" xfId="0" applyFont="1"/>
    <xf numFmtId="0" fontId="13" fillId="0" borderId="0" xfId="0" applyFont="1"/>
    <xf numFmtId="0" fontId="14" fillId="0" borderId="0" xfId="0" applyFont="1"/>
    <xf numFmtId="0" fontId="3" fillId="7" borderId="0" xfId="0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2" fontId="3" fillId="4" borderId="5" xfId="0" applyNumberFormat="1" applyFont="1" applyFill="1" applyBorder="1"/>
    <xf numFmtId="0" fontId="9" fillId="0" borderId="0" xfId="0" applyFont="1" applyAlignment="1">
      <alignment horizontal="center"/>
    </xf>
    <xf numFmtId="0" fontId="8" fillId="4" borderId="0" xfId="0" applyFont="1" applyFill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6" borderId="0" xfId="0" applyFont="1" applyFill="1"/>
    <xf numFmtId="0" fontId="10" fillId="0" borderId="0" xfId="0" applyFont="1"/>
    <xf numFmtId="0" fontId="15" fillId="0" borderId="0" xfId="0" applyFont="1"/>
    <xf numFmtId="2" fontId="3" fillId="0" borderId="0" xfId="0" applyNumberFormat="1" applyFont="1" applyAlignment="1">
      <alignment horizontal="center"/>
    </xf>
    <xf numFmtId="165" fontId="3" fillId="0" borderId="0" xfId="0" applyNumberFormat="1" applyFont="1"/>
    <xf numFmtId="1" fontId="9" fillId="0" borderId="2" xfId="0" applyNumberFormat="1" applyFont="1" applyBorder="1" applyAlignment="1">
      <alignment horizontal="center"/>
    </xf>
    <xf numFmtId="166" fontId="3" fillId="0" borderId="0" xfId="0" applyNumberFormat="1" applyFont="1"/>
    <xf numFmtId="164" fontId="3" fillId="0" borderId="0" xfId="0" applyNumberFormat="1" applyFont="1"/>
    <xf numFmtId="167" fontId="3" fillId="0" borderId="0" xfId="0" applyNumberFormat="1" applyFont="1"/>
    <xf numFmtId="0" fontId="20" fillId="0" borderId="0" xfId="0" applyFont="1"/>
    <xf numFmtId="0" fontId="14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3" fontId="0" fillId="0" borderId="0" xfId="0" applyNumberFormat="1"/>
    <xf numFmtId="0" fontId="9" fillId="0" borderId="2" xfId="0" applyFont="1" applyBorder="1" applyAlignment="1">
      <alignment horizontal="left"/>
    </xf>
    <xf numFmtId="0" fontId="19" fillId="0" borderId="0" xfId="0" applyFont="1"/>
    <xf numFmtId="0" fontId="16" fillId="0" borderId="0" xfId="0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left"/>
    </xf>
    <xf numFmtId="0" fontId="3" fillId="0" borderId="0" xfId="0" quotePrefix="1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3" fillId="4" borderId="0" xfId="0" applyFont="1" applyFill="1" applyAlignment="1">
      <alignment horizontal="right"/>
    </xf>
    <xf numFmtId="0" fontId="3" fillId="6" borderId="0" xfId="0" applyFont="1" applyFill="1" applyAlignment="1">
      <alignment horizontal="center"/>
    </xf>
    <xf numFmtId="2" fontId="3" fillId="0" borderId="0" xfId="0" applyNumberFormat="1" applyFont="1" applyAlignment="1">
      <alignment horizontal="right"/>
    </xf>
    <xf numFmtId="0" fontId="3" fillId="4" borderId="0" xfId="0" quotePrefix="1" applyFont="1" applyFill="1"/>
    <xf numFmtId="0" fontId="21" fillId="0" borderId="0" xfId="0" applyFont="1"/>
    <xf numFmtId="0" fontId="22" fillId="0" borderId="0" xfId="0" applyFont="1"/>
    <xf numFmtId="0" fontId="9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4" fillId="0" borderId="2" xfId="0" applyFont="1" applyBorder="1"/>
    <xf numFmtId="0" fontId="14" fillId="0" borderId="2" xfId="0" applyFont="1" applyBorder="1" applyAlignment="1">
      <alignment horizontal="center" vertical="center"/>
    </xf>
    <xf numFmtId="0" fontId="20" fillId="9" borderId="0" xfId="0" applyFont="1" applyFill="1"/>
    <xf numFmtId="3" fontId="9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2" fontId="3" fillId="6" borderId="0" xfId="0" applyNumberFormat="1" applyFont="1" applyFill="1"/>
    <xf numFmtId="0" fontId="8" fillId="7" borderId="0" xfId="0" applyFont="1" applyFill="1"/>
    <xf numFmtId="0" fontId="23" fillId="0" borderId="0" xfId="0" applyFont="1"/>
    <xf numFmtId="0" fontId="1" fillId="4" borderId="0" xfId="0" applyFont="1" applyFill="1" applyAlignment="1">
      <alignment horizontal="left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14" fontId="12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14" fontId="12" fillId="0" borderId="3" xfId="0" applyNumberFormat="1" applyFont="1" applyBorder="1" applyAlignment="1">
      <alignment horizontal="center"/>
    </xf>
    <xf numFmtId="0" fontId="3" fillId="9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4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3" fillId="8" borderId="0" xfId="0" applyFont="1" applyFill="1" applyAlignment="1">
      <alignment horizontal="left"/>
    </xf>
    <xf numFmtId="0" fontId="3" fillId="10" borderId="0" xfId="0" applyFont="1" applyFill="1" applyAlignment="1">
      <alignment horizontal="left"/>
    </xf>
    <xf numFmtId="0" fontId="3" fillId="0" borderId="0" xfId="0" applyFont="1"/>
    <xf numFmtId="0" fontId="0" fillId="0" borderId="0" xfId="0"/>
    <xf numFmtId="0" fontId="8" fillId="4" borderId="2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3" fontId="9" fillId="0" borderId="0" xfId="0" applyNumberFormat="1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Fill="1"/>
    <xf numFmtId="0" fontId="9" fillId="0" borderId="2" xfId="0" applyFont="1" applyBorder="1" applyAlignment="1">
      <alignment horizontal="right"/>
    </xf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0" xfId="0" applyFont="1"/>
    <xf numFmtId="0" fontId="3" fillId="4" borderId="0" xfId="0" applyFont="1" applyFill="1"/>
    <xf numFmtId="0" fontId="3" fillId="0" borderId="0" xfId="0" applyFont="1" applyAlignment="1">
      <alignment horizontal="center"/>
    </xf>
    <xf numFmtId="0" fontId="19" fillId="0" borderId="0" xfId="0" applyFont="1"/>
    <xf numFmtId="0" fontId="3" fillId="7" borderId="0" xfId="0" applyFont="1" applyFill="1"/>
    <xf numFmtId="0" fontId="9" fillId="0" borderId="0" xfId="0" applyFont="1"/>
    <xf numFmtId="2" fontId="3" fillId="0" borderId="0" xfId="0" applyNumberFormat="1" applyFont="1"/>
    <xf numFmtId="0" fontId="9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0" fillId="0" borderId="0" xfId="0"/>
    <xf numFmtId="0" fontId="3" fillId="4" borderId="0" xfId="0" applyFont="1" applyFill="1"/>
    <xf numFmtId="0" fontId="7" fillId="0" borderId="0" xfId="0" applyFont="1"/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4" borderId="0" xfId="0" applyFont="1" applyFill="1"/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4" borderId="0" xfId="0" applyFont="1" applyFill="1"/>
    <xf numFmtId="0" fontId="3" fillId="5" borderId="0" xfId="0" applyFont="1" applyFill="1"/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5" borderId="0" xfId="0" applyFont="1" applyFill="1"/>
    <xf numFmtId="0" fontId="3" fillId="0" borderId="0" xfId="0" applyFont="1" applyAlignment="1">
      <alignment horizontal="left"/>
    </xf>
  </cellXfs>
  <cellStyles count="3">
    <cellStyle name="Calculation 2" xfId="1" xr:uid="{00000000-0005-0000-0000-000000000000}"/>
    <cellStyle name="Input 2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430E3-63FC-45F2-ADF8-93E84AFC531E}">
  <sheetPr>
    <pageSetUpPr fitToPage="1"/>
  </sheetPr>
  <dimension ref="A1:AR69"/>
  <sheetViews>
    <sheetView tabSelected="1" topLeftCell="A15" zoomScaleNormal="100" zoomScaleSheetLayoutView="100" workbookViewId="0">
      <selection activeCell="AD10" sqref="AD10"/>
    </sheetView>
  </sheetViews>
  <sheetFormatPr defaultRowHeight="12.75" x14ac:dyDescent="0.2"/>
  <cols>
    <col min="1" max="1" width="6.7109375" style="6" customWidth="1"/>
    <col min="2" max="16" width="4.7109375" style="6" customWidth="1"/>
    <col min="17" max="17" width="7.5703125" style="6" bestFit="1" customWidth="1"/>
    <col min="18" max="18" width="4.7109375" style="6" customWidth="1"/>
    <col min="19" max="19" width="6.140625" style="6" customWidth="1"/>
    <col min="20" max="49" width="4.7109375" style="6" customWidth="1"/>
    <col min="50" max="16384" width="9.140625" style="6"/>
  </cols>
  <sheetData>
    <row r="1" spans="1:31" customFormat="1" ht="15" x14ac:dyDescent="0.25">
      <c r="A1" s="1" t="s">
        <v>0</v>
      </c>
      <c r="B1" s="1"/>
      <c r="C1" s="1"/>
      <c r="K1" s="2"/>
      <c r="L1" s="2"/>
      <c r="M1" s="3" t="s">
        <v>1</v>
      </c>
      <c r="N1" s="82" t="s">
        <v>262</v>
      </c>
      <c r="O1" s="82"/>
      <c r="P1" s="2"/>
      <c r="Q1" s="3" t="s">
        <v>2</v>
      </c>
      <c r="R1" s="83">
        <v>45699</v>
      </c>
      <c r="S1" s="82"/>
      <c r="T1" s="29"/>
      <c r="U1" s="1"/>
    </row>
    <row r="2" spans="1:31" customFormat="1" ht="15" x14ac:dyDescent="0.25">
      <c r="A2" s="4" t="s">
        <v>3</v>
      </c>
      <c r="B2" s="75" t="s">
        <v>263</v>
      </c>
      <c r="C2" s="75"/>
      <c r="D2" s="75"/>
      <c r="K2" s="2"/>
      <c r="L2" s="2"/>
      <c r="M2" s="3" t="s">
        <v>4</v>
      </c>
      <c r="N2" s="84" t="s">
        <v>292</v>
      </c>
      <c r="O2" s="84"/>
      <c r="P2" s="2"/>
      <c r="Q2" s="3" t="s">
        <v>2</v>
      </c>
      <c r="R2" s="85">
        <v>45754</v>
      </c>
      <c r="S2" s="84"/>
      <c r="T2" s="28"/>
      <c r="U2" s="30"/>
    </row>
    <row r="3" spans="1:31" customFormat="1" ht="15" x14ac:dyDescent="0.25">
      <c r="A3" s="4" t="s">
        <v>5</v>
      </c>
      <c r="B3" s="75">
        <v>111085</v>
      </c>
      <c r="C3" s="75"/>
      <c r="K3" s="2"/>
      <c r="L3" s="2"/>
      <c r="M3" s="2"/>
      <c r="N3" s="2"/>
      <c r="O3" s="2"/>
      <c r="P3" s="2" t="s">
        <v>6</v>
      </c>
      <c r="Q3" s="8">
        <v>1</v>
      </c>
      <c r="R3" s="2" t="s">
        <v>7</v>
      </c>
      <c r="S3" s="8">
        <v>6</v>
      </c>
    </row>
    <row r="4" spans="1:31" s="5" customFormat="1" ht="8.1" customHeight="1" thickBot="1" x14ac:dyDescent="0.25"/>
    <row r="5" spans="1:31" x14ac:dyDescent="0.2">
      <c r="B5" s="13"/>
      <c r="P5" s="62"/>
      <c r="Q5" s="26"/>
      <c r="R5" s="52"/>
    </row>
    <row r="6" spans="1:31" x14ac:dyDescent="0.2">
      <c r="A6" s="43" t="s">
        <v>99</v>
      </c>
    </row>
    <row r="7" spans="1:31" x14ac:dyDescent="0.2">
      <c r="O7" s="89" t="s">
        <v>11</v>
      </c>
      <c r="P7" s="89"/>
      <c r="Q7" s="89"/>
      <c r="R7" s="89"/>
      <c r="S7" s="89"/>
      <c r="T7" s="29"/>
    </row>
    <row r="9" spans="1:31" x14ac:dyDescent="0.2">
      <c r="A9" s="43" t="s">
        <v>12</v>
      </c>
    </row>
    <row r="10" spans="1:31" x14ac:dyDescent="0.2">
      <c r="B10" s="13" t="s">
        <v>126</v>
      </c>
      <c r="C10" s="6" t="str">
        <f>CONCATENATE(T10,U10,V10,W10,X10,Y10,Z10,AA10,AB10,AC10,AD10,AE10,AF10,AG10,AH10,AI10,AJ10,AK10,AL10,AM10,AN10,AO10,AP10,AQ10,AR10,AS10,AT10,AU10,AV10,AW10)</f>
        <v>Width x Length = 18 FT x 15 FT x (1 / 9) = 30 SQ YD</v>
      </c>
      <c r="U10" s="6" t="s">
        <v>14</v>
      </c>
      <c r="V10" s="15">
        <v>18</v>
      </c>
      <c r="W10" s="6" t="s">
        <v>83</v>
      </c>
      <c r="X10" s="15">
        <v>15</v>
      </c>
      <c r="Y10" s="6" t="s">
        <v>84</v>
      </c>
      <c r="Z10" s="6">
        <v>1</v>
      </c>
      <c r="AA10" s="6" t="s">
        <v>15</v>
      </c>
      <c r="AB10" s="15">
        <v>9</v>
      </c>
      <c r="AC10" s="6" t="s">
        <v>34</v>
      </c>
      <c r="AD10" s="34">
        <f>ROUND(V10*X10*(Z10/AB10),2)</f>
        <v>30</v>
      </c>
      <c r="AE10" s="6" t="s">
        <v>59</v>
      </c>
    </row>
    <row r="11" spans="1:31" x14ac:dyDescent="0.2">
      <c r="B11" s="13" t="s">
        <v>125</v>
      </c>
      <c r="C11" s="6" t="str">
        <f>CONCATENATE(T11,U11,V11,W11,X11,Y11,Z11,AA11,AB11,AC11,AD11,AE11,AF11,AG11,AH11,AI11,AJ11,AK11,AL11,AM11,AN11,AO11,AP11,AQ11,AR11,AS11,AT11,AU11,AV11,AW11)</f>
        <v>Width x Length = 18 FT x 15 FT x (1 / 9) = 30 SQ YD</v>
      </c>
      <c r="U11" s="6" t="s">
        <v>14</v>
      </c>
      <c r="V11" s="15">
        <v>18</v>
      </c>
      <c r="W11" s="6" t="s">
        <v>83</v>
      </c>
      <c r="X11" s="15">
        <v>15</v>
      </c>
      <c r="Y11" s="6" t="s">
        <v>84</v>
      </c>
      <c r="Z11" s="6">
        <v>1</v>
      </c>
      <c r="AA11" s="6" t="s">
        <v>15</v>
      </c>
      <c r="AB11" s="15">
        <v>9</v>
      </c>
      <c r="AC11" s="6" t="s">
        <v>34</v>
      </c>
      <c r="AD11" s="34">
        <f>ROUND(V11*X11*(Z11/AB11),2)</f>
        <v>30</v>
      </c>
      <c r="AE11" s="6" t="s">
        <v>59</v>
      </c>
    </row>
    <row r="12" spans="1:31" x14ac:dyDescent="0.2">
      <c r="B12" s="13" t="s">
        <v>101</v>
      </c>
      <c r="C12" s="6" t="str">
        <f>CONCATENATE(T12,U12,V12,W12,X12,Y12,Z12,AA12,AB12,AC12,AD12,AE12,AF12,AG12,AH12,AI12,AJ12,AK12,AL12,AM12,AN12,AO12,AP12,AQ12,AR12,AS12,AT12,AU12,AV12,AW12)</f>
        <v>30 SQ YD + 30 SQ YD = 60 SQ YD</v>
      </c>
      <c r="U12" s="6">
        <f>AD10</f>
        <v>30</v>
      </c>
      <c r="V12" s="6" t="s">
        <v>108</v>
      </c>
      <c r="X12" s="6">
        <f>AD11</f>
        <v>30</v>
      </c>
      <c r="Y12" s="6" t="s">
        <v>109</v>
      </c>
      <c r="AA12" s="34">
        <f>U12+X12</f>
        <v>60</v>
      </c>
      <c r="AB12" s="6" t="s">
        <v>59</v>
      </c>
    </row>
    <row r="13" spans="1:31" x14ac:dyDescent="0.2">
      <c r="O13" s="10"/>
      <c r="P13" s="10" t="s">
        <v>17</v>
      </c>
      <c r="Q13" s="9">
        <f>ROUND(AA12,0)</f>
        <v>60</v>
      </c>
      <c r="R13" s="10" t="s">
        <v>45</v>
      </c>
      <c r="S13" s="10"/>
      <c r="T13" s="29"/>
    </row>
    <row r="14" spans="1:31" x14ac:dyDescent="0.2">
      <c r="O14" s="11"/>
      <c r="P14" s="11"/>
      <c r="Q14" s="26"/>
      <c r="R14" s="11"/>
      <c r="S14" s="11"/>
      <c r="T14" s="29"/>
    </row>
    <row r="15" spans="1:31" x14ac:dyDescent="0.2">
      <c r="A15" s="43" t="s">
        <v>282</v>
      </c>
    </row>
    <row r="16" spans="1:31" x14ac:dyDescent="0.2">
      <c r="O16" s="89" t="s">
        <v>11</v>
      </c>
      <c r="P16" s="89"/>
      <c r="Q16" s="89"/>
      <c r="R16" s="89"/>
      <c r="S16" s="89"/>
      <c r="T16" s="29"/>
    </row>
    <row r="17" spans="1:44" x14ac:dyDescent="0.2">
      <c r="B17" s="13"/>
      <c r="P17" s="62"/>
      <c r="Q17" s="26"/>
      <c r="R17" s="52"/>
    </row>
    <row r="18" spans="1:44" x14ac:dyDescent="0.2">
      <c r="A18" s="43" t="s">
        <v>260</v>
      </c>
      <c r="K18" s="44"/>
      <c r="L18" s="44"/>
      <c r="M18" s="44"/>
      <c r="N18" s="44"/>
      <c r="O18" s="44"/>
      <c r="P18" s="44"/>
      <c r="Q18" s="44"/>
      <c r="R18" s="44"/>
      <c r="S18" s="44"/>
    </row>
    <row r="19" spans="1:44" x14ac:dyDescent="0.2">
      <c r="A19" s="43"/>
      <c r="B19" s="35" t="s">
        <v>261</v>
      </c>
      <c r="O19" s="65"/>
      <c r="P19" s="65"/>
      <c r="Q19" s="66" t="s">
        <v>11</v>
      </c>
      <c r="R19" s="65"/>
      <c r="S19" s="65"/>
      <c r="T19" s="29"/>
    </row>
    <row r="20" spans="1:44" x14ac:dyDescent="0.2">
      <c r="B20" s="13"/>
      <c r="P20" s="62"/>
      <c r="Q20" s="26"/>
      <c r="R20" s="52"/>
    </row>
    <row r="21" spans="1:44" ht="12.75" customHeight="1" x14ac:dyDescent="0.25">
      <c r="A21" s="43" t="s">
        <v>100</v>
      </c>
      <c r="J21" s="11"/>
      <c r="N21" s="26"/>
      <c r="O21"/>
      <c r="P21"/>
      <c r="Q21"/>
      <c r="R21"/>
      <c r="S21"/>
      <c r="T21" s="29"/>
    </row>
    <row r="22" spans="1:44" x14ac:dyDescent="0.2">
      <c r="A22" s="35" t="s">
        <v>249</v>
      </c>
      <c r="AE22" s="36"/>
    </row>
    <row r="23" spans="1:44" x14ac:dyDescent="0.2">
      <c r="C23" s="24"/>
      <c r="D23" s="24" t="s">
        <v>244</v>
      </c>
      <c r="E23" s="13" t="s">
        <v>104</v>
      </c>
      <c r="F23" s="6" t="str">
        <f>CONCATENATE(T23,U23,V23,W23,X23,Y23,Z23,AA23,AB23,AC23,AD23,AE23,AF23,AG23,AH23,AI23,AJ23,AK23,AL23,AM23,AN23,AO23,AP23,AQ23,AR23,AS23,AT23,AU23,AV23,AW23,AX23,AY23)</f>
        <v>( 36.9 sq ft x 37.38 ft.) + (  23.77 sq ft x 5 ft. x 2 sides) = 1617.02 cu ft</v>
      </c>
      <c r="U23" s="13" t="s">
        <v>152</v>
      </c>
      <c r="V23" s="15">
        <v>36.9</v>
      </c>
      <c r="W23" s="6" t="s">
        <v>35</v>
      </c>
      <c r="X23" s="59">
        <f>ROUND(37+(4.5/12),2)</f>
        <v>37.380000000000003</v>
      </c>
      <c r="Y23" s="6" t="s">
        <v>245</v>
      </c>
      <c r="Z23" s="59">
        <v>23.77</v>
      </c>
      <c r="AA23" s="6" t="s">
        <v>35</v>
      </c>
      <c r="AB23" s="15">
        <v>5</v>
      </c>
      <c r="AC23" s="6" t="s">
        <v>153</v>
      </c>
      <c r="AD23" s="15">
        <v>2</v>
      </c>
      <c r="AE23" s="6" t="s">
        <v>246</v>
      </c>
      <c r="AL23" s="34">
        <f>ROUND(((V23*X23)+ (Z23*AB23*AD23)),2)</f>
        <v>1617.02</v>
      </c>
      <c r="AM23" s="6" t="s">
        <v>36</v>
      </c>
    </row>
    <row r="24" spans="1:44" x14ac:dyDescent="0.2">
      <c r="C24" s="24"/>
      <c r="D24" s="13"/>
      <c r="AE24" s="36"/>
      <c r="AR24" s="74" t="s">
        <v>277</v>
      </c>
    </row>
    <row r="25" spans="1:44" x14ac:dyDescent="0.2">
      <c r="A25" s="35" t="s">
        <v>250</v>
      </c>
    </row>
    <row r="26" spans="1:44" x14ac:dyDescent="0.2">
      <c r="C26" s="24" t="s">
        <v>105</v>
      </c>
      <c r="D26" s="13" t="s">
        <v>104</v>
      </c>
      <c r="E26" s="6" t="str">
        <f>CONCATENATE(T26,U26,V26,W26,X26,Y26,Z26,AA26,AB26,AC26,AD26,AE26,AF26,AG26,AH26,AI26,AJ26,AK26,AL26,AM26,AN26,AO26,AP26,AQ26,AR26,AS26,AT26,AU26,AV26,AW26,AX26,AY26)</f>
        <v>( 36.9 sq ft x 37.38 ft.) + (  24.03 sq ft x 5 ft. x 2 sides) = 1619.62 cu ft</v>
      </c>
      <c r="U26" s="13" t="s">
        <v>152</v>
      </c>
      <c r="V26" s="15">
        <v>36.9</v>
      </c>
      <c r="W26" s="6" t="s">
        <v>35</v>
      </c>
      <c r="X26" s="59">
        <f>ROUND(37+(4.5/12),2)</f>
        <v>37.380000000000003</v>
      </c>
      <c r="Y26" s="6" t="s">
        <v>245</v>
      </c>
      <c r="Z26" s="59">
        <v>24.03</v>
      </c>
      <c r="AA26" s="6" t="s">
        <v>35</v>
      </c>
      <c r="AB26" s="15">
        <v>5</v>
      </c>
      <c r="AC26" s="6" t="s">
        <v>153</v>
      </c>
      <c r="AD26" s="15">
        <v>2</v>
      </c>
      <c r="AE26" s="6" t="s">
        <v>246</v>
      </c>
      <c r="AL26" s="34">
        <f>ROUND(((V26*X26)+ (Z26*AB26*AD26)),2)</f>
        <v>1619.62</v>
      </c>
      <c r="AM26" s="6" t="s">
        <v>36</v>
      </c>
    </row>
    <row r="28" spans="1:44" x14ac:dyDescent="0.2">
      <c r="B28" s="13" t="s">
        <v>102</v>
      </c>
      <c r="C28" s="6" t="str">
        <f>CONCATENATE(T28,U28,V28,W28,X28,Y28,Z28,AA28,AB28,AC28,AD28,AE28,AF28,AG28,AH28,AI28,AJ28,AK28,AL28,AM28,AN28,AO28,AP28,AQ28,AR28,AS28,AT28,AU28,AV28,AW28)</f>
        <v>(1617.02 cu ft + 1619.62 cu ft x ( 1/27) = 119.88 CU YD</v>
      </c>
      <c r="T28" s="6" t="s">
        <v>38</v>
      </c>
      <c r="U28" s="6">
        <f>AL23</f>
        <v>1617.02</v>
      </c>
      <c r="V28" s="6" t="s">
        <v>106</v>
      </c>
      <c r="W28" s="6">
        <f>AL26</f>
        <v>1619.62</v>
      </c>
      <c r="X28" s="6" t="s">
        <v>156</v>
      </c>
      <c r="Y28" s="15">
        <v>1</v>
      </c>
      <c r="Z28" s="6" t="s">
        <v>69</v>
      </c>
      <c r="AA28" s="15">
        <v>27</v>
      </c>
      <c r="AB28" s="6" t="s">
        <v>34</v>
      </c>
      <c r="AG28" s="34">
        <f>ROUND((U28+W28)*(Y28/AA28),2)</f>
        <v>119.88</v>
      </c>
      <c r="AH28" s="6" t="s">
        <v>43</v>
      </c>
    </row>
    <row r="30" spans="1:44" x14ac:dyDescent="0.2">
      <c r="O30" s="10"/>
      <c r="P30" s="10" t="s">
        <v>17</v>
      </c>
      <c r="Q30" s="9">
        <f>ROUND(AG28,0)</f>
        <v>120</v>
      </c>
      <c r="R30" s="10" t="s">
        <v>289</v>
      </c>
      <c r="S30" s="10"/>
    </row>
    <row r="32" spans="1:44" x14ac:dyDescent="0.2">
      <c r="A32" s="7" t="s">
        <v>148</v>
      </c>
    </row>
    <row r="33" spans="1:32" x14ac:dyDescent="0.2">
      <c r="A33" s="6" t="s">
        <v>149</v>
      </c>
    </row>
    <row r="34" spans="1:32" x14ac:dyDescent="0.2">
      <c r="B34" s="13" t="s">
        <v>150</v>
      </c>
      <c r="C34" s="6" t="str">
        <f>CONCATENATE(X34,Y34,Z34,AA34,AB34,AC34,AD34,AE34,AF34,AG34,AH34,AI34,AJ34,AK34,AL34,AM34,AN34,AO34,AP34,AQ34,AR34,AS34,AT34,AU34,AV34,AW34,AX34,AY34,AZ34)</f>
        <v xml:space="preserve">15.5 ft x 7 = 108.5 ft </v>
      </c>
      <c r="X34" s="32">
        <v>15.5</v>
      </c>
      <c r="Y34" s="33" t="s">
        <v>8</v>
      </c>
      <c r="Z34" s="32">
        <v>7</v>
      </c>
      <c r="AA34" s="33" t="s">
        <v>44</v>
      </c>
      <c r="AB34" s="57">
        <f>X34*Z34</f>
        <v>108.5</v>
      </c>
      <c r="AC34" s="33" t="s">
        <v>57</v>
      </c>
      <c r="AD34" s="33"/>
      <c r="AE34" s="33"/>
      <c r="AF34" s="33"/>
    </row>
    <row r="35" spans="1:32" x14ac:dyDescent="0.2">
      <c r="A35" s="35" t="s">
        <v>242</v>
      </c>
      <c r="AE35" s="36"/>
    </row>
    <row r="36" spans="1:32" x14ac:dyDescent="0.2">
      <c r="D36" s="24" t="s">
        <v>244</v>
      </c>
      <c r="E36" s="13" t="s">
        <v>104</v>
      </c>
      <c r="F36" s="6" t="str">
        <f>CONCATENATE(T36,U36,V36,W36,X36,Y36,Z36,AA36,AB36,AC36,AD36,AE36,AF36,AG36,AH36,AI36,AJ36,AK36,AL36,AM36,AN36,AO36,AP36,AQ36,AR36,AS36,AT36,AU36,AV36,AW36,AX36,AY36)</f>
        <v>*7.58 ft x 34.1 ft x 5 ft. = 1292.39 cu ft</v>
      </c>
      <c r="U36" s="56" t="s">
        <v>129</v>
      </c>
      <c r="V36" s="59">
        <f>ROUND(7+(7/12),2)</f>
        <v>7.58</v>
      </c>
      <c r="W36" s="6" t="s">
        <v>8</v>
      </c>
      <c r="X36" s="59">
        <f>ROUND(34+(1.25/12),2)</f>
        <v>34.1</v>
      </c>
      <c r="Y36" s="6" t="s">
        <v>8</v>
      </c>
      <c r="Z36" s="15">
        <v>5</v>
      </c>
      <c r="AA36" s="6" t="s">
        <v>155</v>
      </c>
      <c r="AB36" s="34">
        <f>ROUND((V36*X36*Z36),2)</f>
        <v>1292.3900000000001</v>
      </c>
      <c r="AC36" s="6" t="s">
        <v>36</v>
      </c>
      <c r="AE36" s="36"/>
    </row>
    <row r="37" spans="1:32" x14ac:dyDescent="0.2">
      <c r="B37" s="13"/>
      <c r="F37" s="6" t="s">
        <v>154</v>
      </c>
      <c r="AF37" s="33"/>
    </row>
    <row r="38" spans="1:32" x14ac:dyDescent="0.2">
      <c r="A38" s="6" t="s">
        <v>151</v>
      </c>
      <c r="B38" s="13"/>
      <c r="AF38" s="33"/>
    </row>
    <row r="39" spans="1:32" x14ac:dyDescent="0.2">
      <c r="B39" s="13" t="s">
        <v>31</v>
      </c>
      <c r="C39" s="6" t="str">
        <f>CONCATENATE(X39,Y39,Z39,AA39,AB39,AC39,AD39,AE39,AF39,AG39,AH39,AI39,AJ39,AK39,AL39,AM39,AN39,AO39,AP39,AQ39,AR39,AS39,AT39,AU39,AV39,AW39,AX39,AY39,AZ39)</f>
        <v xml:space="preserve">15.5 ft x 7 = 108.5 ft </v>
      </c>
      <c r="X39" s="32">
        <v>15.5</v>
      </c>
      <c r="Y39" s="6" t="s">
        <v>8</v>
      </c>
      <c r="Z39" s="32">
        <v>7</v>
      </c>
      <c r="AA39" s="6" t="s">
        <v>44</v>
      </c>
      <c r="AB39" s="57">
        <f>X39*Z39</f>
        <v>108.5</v>
      </c>
      <c r="AC39" s="6" t="s">
        <v>57</v>
      </c>
      <c r="AF39" s="33"/>
    </row>
    <row r="40" spans="1:32" x14ac:dyDescent="0.2">
      <c r="A40" s="35" t="s">
        <v>243</v>
      </c>
      <c r="AE40" s="36"/>
    </row>
    <row r="41" spans="1:32" x14ac:dyDescent="0.2">
      <c r="D41" s="24" t="s">
        <v>244</v>
      </c>
      <c r="E41" s="13" t="s">
        <v>104</v>
      </c>
      <c r="F41" s="6" t="str">
        <f>CONCATENATE(T41,U41,V41,W41,X41,Y41,Z41,AA41,AB41,AC41,AD41,AE41,AF41,AG41,AH41,AI41,AJ41,AK41,AL41,AM41,AN41,AO41,AP41,AQ41,AR41,AS41,AT41,AU41,AV41,AW41,AX41,AY41)</f>
        <v>*4.31 ft x 34.1 ft x 5 ft. = 734.86 cu ft</v>
      </c>
      <c r="U41" s="56" t="s">
        <v>129</v>
      </c>
      <c r="V41" s="59">
        <f>ROUND(4+(3.75/12),2)</f>
        <v>4.3099999999999996</v>
      </c>
      <c r="W41" s="6" t="s">
        <v>8</v>
      </c>
      <c r="X41" s="59">
        <f>ROUND(34+(1.25/12),2)</f>
        <v>34.1</v>
      </c>
      <c r="Y41" s="6" t="s">
        <v>8</v>
      </c>
      <c r="Z41" s="15">
        <v>5</v>
      </c>
      <c r="AA41" s="6" t="s">
        <v>155</v>
      </c>
      <c r="AB41" s="34">
        <f>ROUND((V41*X41*Z41),2)</f>
        <v>734.86</v>
      </c>
      <c r="AC41" s="6" t="s">
        <v>36</v>
      </c>
      <c r="AE41" s="36"/>
    </row>
    <row r="42" spans="1:32" x14ac:dyDescent="0.2">
      <c r="B42" s="13"/>
      <c r="F42" s="6" t="s">
        <v>154</v>
      </c>
      <c r="AF42" s="33"/>
    </row>
    <row r="43" spans="1:32" x14ac:dyDescent="0.2">
      <c r="B43" s="13" t="s">
        <v>150</v>
      </c>
      <c r="C43" s="6" t="str">
        <f>CONCATENATE(X43,Y43,Z43,AA43,AB43,AC43,AD43,AE43,AF43,AG43,AH43,AI43,AJ43,AK43,AL43,AM43,AN43,AO43,AP43,AQ43,AR43,AS43,AT43,AU43,AV43,AW43,AX43,AY43,AZ43)</f>
        <v xml:space="preserve">108.5 ft + 108.5 ft = 217 ft </v>
      </c>
      <c r="X43" s="33">
        <f>AB34</f>
        <v>108.5</v>
      </c>
      <c r="Y43" s="6" t="s">
        <v>56</v>
      </c>
      <c r="Z43" s="33">
        <f>AB39</f>
        <v>108.5</v>
      </c>
      <c r="AA43" s="6" t="s">
        <v>10</v>
      </c>
      <c r="AB43" s="57">
        <f>X43+Z43</f>
        <v>217</v>
      </c>
      <c r="AC43" s="6" t="s">
        <v>57</v>
      </c>
      <c r="AF43" s="33"/>
    </row>
    <row r="44" spans="1:32" x14ac:dyDescent="0.2">
      <c r="L44" s="54"/>
      <c r="M44" s="54"/>
      <c r="N44" s="33"/>
      <c r="O44" s="10"/>
      <c r="P44" s="10" t="s">
        <v>17</v>
      </c>
      <c r="Q44" s="9">
        <f>ROUND(AB43,0)</f>
        <v>217</v>
      </c>
      <c r="R44" s="48" t="s">
        <v>72</v>
      </c>
      <c r="S44" s="10"/>
    </row>
    <row r="45" spans="1:32" x14ac:dyDescent="0.2">
      <c r="L45" s="54"/>
      <c r="M45" s="54"/>
      <c r="N45" s="33"/>
      <c r="O45" s="11"/>
      <c r="P45" s="11"/>
      <c r="Q45" s="26"/>
      <c r="R45" s="52"/>
      <c r="S45" s="11"/>
    </row>
    <row r="46" spans="1:32" x14ac:dyDescent="0.2">
      <c r="A46" s="43" t="s">
        <v>278</v>
      </c>
      <c r="K46" s="44"/>
      <c r="L46" s="44"/>
      <c r="M46" s="44"/>
      <c r="N46" s="44"/>
      <c r="O46" s="44"/>
      <c r="P46" s="44"/>
      <c r="Q46" s="44"/>
      <c r="R46" s="44"/>
      <c r="S46" s="44"/>
    </row>
    <row r="47" spans="1:32" x14ac:dyDescent="0.2">
      <c r="A47" s="43"/>
      <c r="K47" s="88" t="s">
        <v>293</v>
      </c>
      <c r="L47" s="88"/>
      <c r="M47" s="88"/>
      <c r="N47" s="88"/>
      <c r="O47" s="88"/>
      <c r="P47" s="88"/>
      <c r="Q47" s="88"/>
      <c r="R47" s="88"/>
      <c r="S47" s="88"/>
      <c r="T47" s="29"/>
    </row>
    <row r="48" spans="1:32" x14ac:dyDescent="0.2">
      <c r="A48" s="43"/>
      <c r="K48" s="44"/>
      <c r="L48" s="44"/>
      <c r="M48" s="44"/>
      <c r="N48" s="44"/>
      <c r="O48" s="44"/>
      <c r="P48" s="44"/>
      <c r="Q48" s="44"/>
      <c r="R48" s="44"/>
      <c r="S48" s="44"/>
      <c r="T48" s="29"/>
    </row>
    <row r="49" spans="1:23" x14ac:dyDescent="0.2">
      <c r="A49" s="43" t="s">
        <v>281</v>
      </c>
      <c r="K49" s="44"/>
      <c r="L49" s="44"/>
      <c r="M49" s="44"/>
      <c r="N49" s="44"/>
      <c r="O49" s="44"/>
      <c r="P49" s="44"/>
      <c r="Q49" s="44"/>
      <c r="R49" s="44"/>
      <c r="S49" s="44"/>
    </row>
    <row r="50" spans="1:23" x14ac:dyDescent="0.2">
      <c r="A50" s="43"/>
      <c r="K50" s="44"/>
      <c r="L50" s="44"/>
      <c r="M50" s="44"/>
      <c r="N50" s="44"/>
      <c r="O50" s="44"/>
      <c r="P50" s="44"/>
      <c r="Q50" s="44"/>
      <c r="R50" s="44"/>
      <c r="S50" s="44"/>
    </row>
    <row r="51" spans="1:23" x14ac:dyDescent="0.2">
      <c r="A51" s="43"/>
      <c r="K51" s="88" t="str">
        <f>CONCATENATE("USE ", V51, " LB. SEE STRUCTURE SHEET 2/21")</f>
        <v>USE 25 LB. SEE STRUCTURE SHEET 2/21</v>
      </c>
      <c r="L51" s="88"/>
      <c r="M51" s="88"/>
      <c r="N51" s="88"/>
      <c r="O51" s="88"/>
      <c r="P51" s="88"/>
      <c r="Q51" s="88"/>
      <c r="R51" s="88"/>
      <c r="S51" s="88"/>
      <c r="T51" s="29"/>
      <c r="V51" s="15">
        <v>25</v>
      </c>
      <c r="W51" s="6" t="s">
        <v>285</v>
      </c>
    </row>
    <row r="52" spans="1:23" ht="12.75" customHeight="1" x14ac:dyDescent="0.25">
      <c r="A52" s="92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</row>
    <row r="53" spans="1:23" x14ac:dyDescent="0.2">
      <c r="A53" s="7" t="s">
        <v>251</v>
      </c>
    </row>
    <row r="54" spans="1:23" x14ac:dyDescent="0.2">
      <c r="A54" s="79" t="s">
        <v>252</v>
      </c>
      <c r="B54" s="79"/>
      <c r="C54" s="79"/>
      <c r="D54" s="79"/>
      <c r="F54" s="79" t="s">
        <v>253</v>
      </c>
      <c r="G54" s="79"/>
      <c r="H54" s="79"/>
      <c r="I54" s="79"/>
      <c r="K54" s="78"/>
      <c r="L54" s="78"/>
      <c r="M54" s="78"/>
      <c r="N54" s="78"/>
      <c r="P54" s="78"/>
      <c r="Q54" s="78"/>
      <c r="R54" s="78"/>
      <c r="S54" s="78"/>
    </row>
    <row r="55" spans="1:23" x14ac:dyDescent="0.2">
      <c r="A55" s="80" t="s">
        <v>254</v>
      </c>
      <c r="B55" s="80"/>
      <c r="D55" s="63" t="s">
        <v>255</v>
      </c>
      <c r="F55" s="80" t="s">
        <v>254</v>
      </c>
      <c r="G55" s="80"/>
      <c r="I55" s="63" t="s">
        <v>255</v>
      </c>
      <c r="K55" s="77"/>
      <c r="L55" s="77"/>
      <c r="N55" s="33"/>
      <c r="P55" s="77"/>
      <c r="Q55" s="77"/>
      <c r="S55" s="33"/>
    </row>
    <row r="56" spans="1:23" x14ac:dyDescent="0.2">
      <c r="A56" s="81" t="s">
        <v>258</v>
      </c>
      <c r="B56" s="81"/>
      <c r="C56" s="33" t="s">
        <v>256</v>
      </c>
      <c r="D56" s="32">
        <v>44</v>
      </c>
      <c r="F56" s="81" t="s">
        <v>258</v>
      </c>
      <c r="G56" s="81"/>
      <c r="H56" s="33" t="s">
        <v>256</v>
      </c>
      <c r="I56" s="32">
        <v>44</v>
      </c>
      <c r="K56" s="76"/>
      <c r="L56" s="76"/>
      <c r="M56" s="33"/>
      <c r="N56" s="33"/>
      <c r="P56" s="76"/>
      <c r="Q56" s="76"/>
      <c r="R56" s="33"/>
      <c r="S56" s="33"/>
    </row>
    <row r="57" spans="1:23" x14ac:dyDescent="0.2">
      <c r="A57" s="94" t="s">
        <v>259</v>
      </c>
      <c r="B57" s="94"/>
      <c r="C57" s="63" t="s">
        <v>256</v>
      </c>
      <c r="D57" s="64">
        <v>12</v>
      </c>
      <c r="F57" s="94" t="s">
        <v>259</v>
      </c>
      <c r="G57" s="94"/>
      <c r="H57" s="63" t="s">
        <v>256</v>
      </c>
      <c r="I57" s="64">
        <v>12</v>
      </c>
      <c r="K57" s="54"/>
      <c r="L57" s="54"/>
      <c r="M57" s="33"/>
      <c r="N57" s="33"/>
      <c r="P57" s="54"/>
      <c r="Q57" s="54"/>
      <c r="R57" s="33"/>
      <c r="S57" s="33"/>
    </row>
    <row r="58" spans="1:23" x14ac:dyDescent="0.2">
      <c r="C58" s="13" t="s">
        <v>257</v>
      </c>
      <c r="D58" s="33">
        <f>SUM(D56:D57)</f>
        <v>56</v>
      </c>
      <c r="H58" s="13" t="s">
        <v>257</v>
      </c>
      <c r="I58" s="33">
        <f>SUM(I56:I57)</f>
        <v>56</v>
      </c>
      <c r="M58" s="13"/>
      <c r="N58" s="33"/>
      <c r="R58" s="13"/>
      <c r="S58" s="33"/>
    </row>
    <row r="59" spans="1:23" x14ac:dyDescent="0.2">
      <c r="D59" s="13"/>
      <c r="E59" s="33"/>
      <c r="O59" s="14"/>
      <c r="P59" s="10" t="s">
        <v>18</v>
      </c>
      <c r="Q59" s="39">
        <f>D58+I58</f>
        <v>112</v>
      </c>
      <c r="R59" s="10" t="s">
        <v>19</v>
      </c>
      <c r="S59" s="10"/>
      <c r="T59" s="29"/>
    </row>
    <row r="60" spans="1:23" ht="12.75" customHeight="1" x14ac:dyDescent="0.25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23" x14ac:dyDescent="0.2">
      <c r="A61" s="12" t="str">
        <f ca="1">CELL("filename")</f>
        <v>c:\users\mclark3\appdata\local\bentley\projectwise\workingdir\ohiodot-pw.bentley.com_ohiodot-pw-02\michael.clark@dot.ohio.gov\d0512215\[111085_Structure Calculations.xlsx]Sheet5</v>
      </c>
    </row>
    <row r="65" spans="2:10" x14ac:dyDescent="0.2">
      <c r="B65" s="95" t="s">
        <v>286</v>
      </c>
      <c r="C65" s="95"/>
      <c r="D65" s="95"/>
      <c r="E65" s="95"/>
      <c r="F65" s="95"/>
      <c r="G65" s="95"/>
      <c r="H65" s="95"/>
      <c r="I65" s="95"/>
      <c r="J65" s="95"/>
    </row>
    <row r="66" spans="2:10" x14ac:dyDescent="0.2">
      <c r="B66" s="90" t="s">
        <v>265</v>
      </c>
      <c r="C66" s="90"/>
    </row>
    <row r="67" spans="2:10" x14ac:dyDescent="0.2">
      <c r="B67" s="91" t="s">
        <v>264</v>
      </c>
      <c r="C67" s="91"/>
      <c r="D67" s="91"/>
      <c r="E67" s="91"/>
      <c r="F67" s="91"/>
      <c r="G67" s="91"/>
      <c r="H67" s="91"/>
      <c r="I67" s="91"/>
      <c r="J67" s="91"/>
    </row>
    <row r="68" spans="2:10" x14ac:dyDescent="0.2">
      <c r="B68" s="86" t="s">
        <v>266</v>
      </c>
      <c r="C68" s="86"/>
      <c r="D68" s="86"/>
      <c r="E68" s="86"/>
      <c r="F68" s="86"/>
      <c r="G68" s="86"/>
      <c r="H68" s="86"/>
      <c r="I68" s="86"/>
    </row>
    <row r="69" spans="2:10" x14ac:dyDescent="0.2">
      <c r="B69" s="87"/>
      <c r="C69" s="87"/>
    </row>
  </sheetData>
  <mergeCells count="30">
    <mergeCell ref="B68:I68"/>
    <mergeCell ref="B69:C69"/>
    <mergeCell ref="K51:S51"/>
    <mergeCell ref="O7:S7"/>
    <mergeCell ref="O16:S16"/>
    <mergeCell ref="B66:C66"/>
    <mergeCell ref="B67:J67"/>
    <mergeCell ref="K47:S47"/>
    <mergeCell ref="A52:S52"/>
    <mergeCell ref="F57:G57"/>
    <mergeCell ref="A57:B57"/>
    <mergeCell ref="B65:J65"/>
    <mergeCell ref="N1:O1"/>
    <mergeCell ref="R1:S1"/>
    <mergeCell ref="B2:D2"/>
    <mergeCell ref="N2:O2"/>
    <mergeCell ref="R2:S2"/>
    <mergeCell ref="B3:C3"/>
    <mergeCell ref="P56:Q56"/>
    <mergeCell ref="P55:Q55"/>
    <mergeCell ref="P54:S54"/>
    <mergeCell ref="K54:N54"/>
    <mergeCell ref="K56:L56"/>
    <mergeCell ref="K55:L55"/>
    <mergeCell ref="F54:I54"/>
    <mergeCell ref="A54:D54"/>
    <mergeCell ref="F55:G55"/>
    <mergeCell ref="F56:G56"/>
    <mergeCell ref="A56:B56"/>
    <mergeCell ref="A55:B55"/>
  </mergeCells>
  <pageMargins left="0.7" right="0.5" top="0.5" bottom="0.5" header="0.3" footer="0.3"/>
  <pageSetup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Y50"/>
  <sheetViews>
    <sheetView tabSelected="1" zoomScaleNormal="100" zoomScaleSheetLayoutView="100" workbookViewId="0">
      <selection activeCell="AD10" sqref="AD10"/>
    </sheetView>
  </sheetViews>
  <sheetFormatPr defaultRowHeight="12.75" x14ac:dyDescent="0.2"/>
  <cols>
    <col min="1" max="1" width="6.7109375" style="6" customWidth="1"/>
    <col min="2" max="20" width="4.7109375" style="6" customWidth="1"/>
    <col min="21" max="21" width="6.5703125" style="6" customWidth="1"/>
    <col min="22" max="22" width="4.7109375" style="6" customWidth="1"/>
    <col min="23" max="23" width="6.5703125" style="6" customWidth="1"/>
    <col min="24" max="24" width="4.7109375" style="6" customWidth="1"/>
    <col min="25" max="27" width="7" style="6" bestFit="1" customWidth="1"/>
    <col min="28" max="28" width="8.28515625" style="6" customWidth="1"/>
    <col min="29" max="49" width="4.7109375" style="6" customWidth="1"/>
    <col min="50" max="16384" width="9.140625" style="6"/>
  </cols>
  <sheetData>
    <row r="1" spans="1:51" customFormat="1" ht="15" x14ac:dyDescent="0.25">
      <c r="A1" s="1" t="s">
        <v>0</v>
      </c>
      <c r="B1" s="1"/>
      <c r="C1" s="1"/>
      <c r="K1" s="2"/>
      <c r="L1" s="2"/>
      <c r="M1" s="3" t="s">
        <v>1</v>
      </c>
      <c r="N1" s="82" t="s">
        <v>262</v>
      </c>
      <c r="O1" s="82"/>
      <c r="P1" s="2"/>
      <c r="Q1" s="3" t="s">
        <v>2</v>
      </c>
      <c r="R1" s="83">
        <v>45699</v>
      </c>
      <c r="S1" s="82"/>
      <c r="T1" s="29"/>
      <c r="U1" s="1"/>
    </row>
    <row r="2" spans="1:51" customFormat="1" ht="15" x14ac:dyDescent="0.25">
      <c r="A2" s="4" t="s">
        <v>3</v>
      </c>
      <c r="B2" s="75" t="s">
        <v>263</v>
      </c>
      <c r="C2" s="75"/>
      <c r="D2" s="75"/>
      <c r="K2" s="2"/>
      <c r="L2" s="2"/>
      <c r="M2" s="3" t="s">
        <v>4</v>
      </c>
      <c r="N2" s="84" t="s">
        <v>292</v>
      </c>
      <c r="O2" s="84"/>
      <c r="P2" s="2"/>
      <c r="Q2" s="3" t="s">
        <v>2</v>
      </c>
      <c r="R2" s="85">
        <v>45754</v>
      </c>
      <c r="S2" s="84"/>
      <c r="T2" s="28"/>
      <c r="U2" s="30"/>
    </row>
    <row r="3" spans="1:51" customFormat="1" ht="15" x14ac:dyDescent="0.25">
      <c r="A3" s="4" t="s">
        <v>5</v>
      </c>
      <c r="B3" s="75">
        <v>111085</v>
      </c>
      <c r="C3" s="75"/>
      <c r="K3" s="2"/>
      <c r="L3" s="2"/>
      <c r="M3" s="2"/>
      <c r="N3" s="2"/>
      <c r="O3" s="2"/>
      <c r="P3" s="2" t="s">
        <v>6</v>
      </c>
      <c r="Q3" s="8">
        <v>2</v>
      </c>
      <c r="R3" s="2" t="s">
        <v>7</v>
      </c>
      <c r="S3" s="8">
        <v>6</v>
      </c>
    </row>
    <row r="4" spans="1:51" s="5" customFormat="1" ht="8.1" customHeight="1" thickBot="1" x14ac:dyDescent="0.25"/>
    <row r="5" spans="1:51" x14ac:dyDescent="0.2">
      <c r="A5" s="67" t="s">
        <v>297</v>
      </c>
    </row>
    <row r="6" spans="1:51" x14ac:dyDescent="0.2">
      <c r="A6" s="19" t="s">
        <v>178</v>
      </c>
      <c r="K6" s="6" t="s">
        <v>165</v>
      </c>
    </row>
    <row r="7" spans="1:51" x14ac:dyDescent="0.2">
      <c r="A7" s="19"/>
      <c r="C7" s="13" t="s">
        <v>169</v>
      </c>
      <c r="D7" s="6" t="str">
        <f>CONCATENATE(T7,U7,V7,W7,X7,Y7,Z7,AA7,AB7,AC7,AD7,AE7,AF7,AG7,AH7,AI7,AJ7,AK7,AL7,AM7,AN7,AO7,AP7,AQ7,AR7,AS7,AT7,AU7,AV7,AW7)</f>
        <v>(Total Slab Width - (Edge Beam Width x 2)) = ( 32 ft. - ( 4 ft. x 2 Each)) = 24  ft.</v>
      </c>
      <c r="U7" s="6" t="s">
        <v>247</v>
      </c>
      <c r="V7" s="15">
        <f>ROUND(32+(0/12),2)</f>
        <v>32</v>
      </c>
      <c r="W7" s="6" t="s">
        <v>167</v>
      </c>
      <c r="X7" s="15">
        <v>4</v>
      </c>
      <c r="Y7" s="6" t="s">
        <v>153</v>
      </c>
      <c r="Z7" s="15">
        <v>2</v>
      </c>
      <c r="AA7" s="6" t="s">
        <v>168</v>
      </c>
      <c r="AB7" s="6">
        <f>ROUND(V7-X7*Z7,2)</f>
        <v>24</v>
      </c>
      <c r="AC7" s="6" t="s">
        <v>180</v>
      </c>
    </row>
    <row r="8" spans="1:51" ht="15" customHeight="1" x14ac:dyDescent="0.2">
      <c r="C8" s="13" t="s">
        <v>166</v>
      </c>
      <c r="D8" s="6" t="str">
        <f>CONCATENATE(T8,U8,V8,W8,X8,Y8,Z8,AA8,AB8,AC8,AD8,AE8,AF8,AG8,AH8,AI8,AJ8,AK8,AL8,AM8,AN8,AO8,AP8,AQ8,AR8,AS8,AT8,AU8,AV8,AW8)</f>
        <v xml:space="preserve">18" (thick)  x (1 / 12) (ft/in) x 24  ft. (width) = </v>
      </c>
      <c r="Q8" s="96">
        <f>ROUND((U8/Y8)*AA8,2)</f>
        <v>36</v>
      </c>
      <c r="R8" s="96"/>
      <c r="S8" s="6" t="s">
        <v>20</v>
      </c>
      <c r="T8" s="29"/>
      <c r="U8" s="15">
        <v>18</v>
      </c>
      <c r="V8" s="6" t="s">
        <v>171</v>
      </c>
      <c r="W8" s="15">
        <v>1</v>
      </c>
      <c r="X8" s="6" t="s">
        <v>15</v>
      </c>
      <c r="Y8" s="15">
        <v>12</v>
      </c>
      <c r="Z8" s="6" t="s">
        <v>21</v>
      </c>
      <c r="AA8" s="6">
        <f>AB7</f>
        <v>24</v>
      </c>
      <c r="AB8" s="6" t="s">
        <v>172</v>
      </c>
    </row>
    <row r="9" spans="1:51" x14ac:dyDescent="0.2">
      <c r="C9" s="13"/>
      <c r="R9" s="13"/>
      <c r="T9" s="29"/>
    </row>
    <row r="10" spans="1:51" ht="12.75" customHeight="1" x14ac:dyDescent="0.2">
      <c r="C10" s="13" t="s">
        <v>170</v>
      </c>
      <c r="D10" s="6" t="str">
        <f>CONCATENATE(T10,U10,V10,W10,X10,Y10,Z10,AA10,AB10,AC10,AD10,AE10,AF10,AG10,AH10,AI10,AJ10,AK10,AL10,AM10,AN10,AO10,AP10,AQ10,AR10,AS10,AT10,AU10,AV10,AW10)</f>
        <v xml:space="preserve">20" (thick)  x (1 / 12) (ft/in) x 4  ft. (width) x  2 beams = </v>
      </c>
      <c r="Q10" s="98">
        <f>ROUND((U10/Y10)*AA10*AF10,2)</f>
        <v>13.33</v>
      </c>
      <c r="R10" s="98"/>
      <c r="S10" s="6" t="s">
        <v>20</v>
      </c>
      <c r="T10" s="29"/>
      <c r="U10" s="15">
        <v>20</v>
      </c>
      <c r="V10" s="6" t="s">
        <v>171</v>
      </c>
      <c r="W10" s="15">
        <v>1</v>
      </c>
      <c r="X10" s="6" t="s">
        <v>15</v>
      </c>
      <c r="Y10" s="15">
        <v>12</v>
      </c>
      <c r="Z10" s="6" t="s">
        <v>21</v>
      </c>
      <c r="AA10" s="15">
        <v>4</v>
      </c>
      <c r="AB10" s="6" t="s">
        <v>173</v>
      </c>
      <c r="AF10" s="15">
        <v>2</v>
      </c>
      <c r="AG10" s="6" t="s">
        <v>23</v>
      </c>
    </row>
    <row r="11" spans="1:51" x14ac:dyDescent="0.2">
      <c r="C11" s="13" t="s">
        <v>174</v>
      </c>
      <c r="D11" s="6" t="str">
        <f>CONCATENATE(T11,U11,V11,W11,X11,Y11,Z11,AA11,AB11,AC11,AD11,AE11,AF11,AG11,AH11,AI11,AJ11,AK11,AL11,AM11,AN11,AO11,AP11,AQ11,AR11,AS11,AT11,AU11,AV11,AW11)</f>
        <v>{[ 0.5 x (4" x 2" ) x 2 chamfers ) x ( 1 / 144) sq ft/ sq in ]} =</v>
      </c>
      <c r="R11" s="13">
        <f>ROUND((U11*(W11*Y11)*AF11*(1/AK11)),2)</f>
        <v>0.06</v>
      </c>
      <c r="S11" s="6" t="s">
        <v>20</v>
      </c>
      <c r="T11" s="6" t="s">
        <v>177</v>
      </c>
      <c r="U11" s="15">
        <v>0.5</v>
      </c>
      <c r="V11" s="6" t="s">
        <v>48</v>
      </c>
      <c r="W11" s="15">
        <v>4</v>
      </c>
      <c r="X11" s="6" t="s">
        <v>22</v>
      </c>
      <c r="Y11" s="15">
        <v>2</v>
      </c>
      <c r="Z11" s="6" t="s">
        <v>176</v>
      </c>
      <c r="AF11" s="15">
        <v>2</v>
      </c>
      <c r="AG11" s="6" t="s">
        <v>175</v>
      </c>
      <c r="AI11" s="15">
        <v>1</v>
      </c>
      <c r="AJ11" s="6" t="s">
        <v>15</v>
      </c>
      <c r="AK11" s="15">
        <v>144</v>
      </c>
      <c r="AL11" s="6" t="s">
        <v>275</v>
      </c>
      <c r="AM11" s="15"/>
    </row>
    <row r="13" spans="1:51" x14ac:dyDescent="0.2">
      <c r="P13" s="13" t="s">
        <v>24</v>
      </c>
      <c r="Q13" s="97">
        <f>Q8+Q10+R11</f>
        <v>49.39</v>
      </c>
      <c r="R13" s="77"/>
      <c r="S13" s="6" t="s">
        <v>20</v>
      </c>
      <c r="T13" s="29"/>
    </row>
    <row r="14" spans="1:51" ht="12.75" customHeight="1" x14ac:dyDescent="0.2"/>
    <row r="15" spans="1:51" ht="15" customHeight="1" x14ac:dyDescent="0.2">
      <c r="C15" s="13" t="s">
        <v>25</v>
      </c>
      <c r="D15" s="6" t="str">
        <f>CONCATENATE(T15,U15,V15,W15,X15,Y15,Z15,AA15,AB15,AC15,AD15,AE15,AF15,AG15,AH15,AI15,AJ15,AK15,AL15,AM15,AN15,AO15,AP15,AQ15,AR15,AS15,AT15,AU15,AV15,AW15)</f>
        <v xml:space="preserve">L (Bridge Limits) x Trans Sec Area = 91.04 ft x 49.39 sq ft x (1 / 27 ) = </v>
      </c>
      <c r="Q15" s="99">
        <f>ROUND(((W15)*AA15)*(1/AE15),1)</f>
        <v>166.5</v>
      </c>
      <c r="R15" s="99"/>
      <c r="S15" s="6" t="s">
        <v>191</v>
      </c>
      <c r="U15" s="6" t="s">
        <v>290</v>
      </c>
      <c r="V15" s="17"/>
      <c r="W15" s="25">
        <v>91.04</v>
      </c>
      <c r="Y15" s="17"/>
      <c r="Z15" s="6" t="s">
        <v>8</v>
      </c>
      <c r="AA15" s="17">
        <f>Q13</f>
        <v>49.39</v>
      </c>
      <c r="AB15" s="6" t="s">
        <v>26</v>
      </c>
      <c r="AC15" s="15">
        <v>1</v>
      </c>
      <c r="AD15" s="6" t="s">
        <v>15</v>
      </c>
      <c r="AE15" s="15">
        <v>27</v>
      </c>
      <c r="AF15" s="6" t="s">
        <v>16</v>
      </c>
      <c r="AY15" s="6">
        <f>PI()</f>
        <v>3.1415926535897931</v>
      </c>
    </row>
    <row r="17" spans="1:34" x14ac:dyDescent="0.2">
      <c r="A17" s="19" t="s">
        <v>28</v>
      </c>
    </row>
    <row r="18" spans="1:34" ht="12.75" customHeight="1" x14ac:dyDescent="0.2">
      <c r="A18" s="18" t="s">
        <v>29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29"/>
    </row>
    <row r="19" spans="1:34" ht="12.75" customHeight="1" x14ac:dyDescent="0.2">
      <c r="C19" s="13" t="s">
        <v>30</v>
      </c>
      <c r="D19" s="6" t="str">
        <f>CONCATENATE(T19,U19,V19,W19,X19,Y19,Z19,AA19,AB19,AC19,AD19,AE19,AF19,AG19,AH19,AI19,AJ19,AK19,AL19,AM19,AN19,AO19,AP19,AQ19,AR19,AS19,AT19,AU19,AV19,AW19)</f>
        <v>Diaphragm Depth =  1.25 ft, Diaphagm Width = 32.67 ft</v>
      </c>
      <c r="I19" s="13"/>
      <c r="J19" s="13"/>
      <c r="K19" s="13"/>
      <c r="L19" s="13"/>
      <c r="M19" s="13"/>
      <c r="N19" s="13"/>
      <c r="O19" s="13"/>
      <c r="P19" s="13"/>
      <c r="Q19" s="96"/>
      <c r="R19" s="96"/>
      <c r="U19" s="6" t="s">
        <v>131</v>
      </c>
      <c r="V19" s="16">
        <v>1.25</v>
      </c>
      <c r="W19" s="6" t="s">
        <v>179</v>
      </c>
      <c r="X19" s="15">
        <v>32.67</v>
      </c>
      <c r="Y19" s="6" t="s">
        <v>9</v>
      </c>
    </row>
    <row r="20" spans="1:34" x14ac:dyDescent="0.2">
      <c r="D20" s="6" t="str">
        <f>CONCATENATE(T20,U20,W20,V20,X20,Y20,Z20,AA20,AB20,AC20,AD20,AE20,AF20,AG20,AH20,AI20,AJ20,AK20,AL20,AM20,AN20,AO20,AP20,AQ20,AR20,AS20,AT20,AU20,AV20,AW20)</f>
        <v xml:space="preserve">Area Face of Diaphragm =  { [(1.67 ft + 1.92 ft ) / 2 ] x 32.67 ft} x  1.25 ft = </v>
      </c>
      <c r="Q20" s="96">
        <f>ROUND(((Y20+AA20)/AC20)*AE20*AG20,2)</f>
        <v>73.3</v>
      </c>
      <c r="R20" s="96"/>
      <c r="S20" s="6" t="s">
        <v>184</v>
      </c>
      <c r="U20" s="6" t="s">
        <v>183</v>
      </c>
      <c r="X20" s="15" t="s">
        <v>90</v>
      </c>
      <c r="Y20" s="15">
        <f>ROUND(1+(8/12),2)</f>
        <v>1.67</v>
      </c>
      <c r="Z20" s="6" t="s">
        <v>56</v>
      </c>
      <c r="AA20" s="15">
        <f>ROUND(1+(11/12),2)</f>
        <v>1.92</v>
      </c>
      <c r="AB20" s="6" t="s">
        <v>248</v>
      </c>
      <c r="AC20" s="6">
        <v>2</v>
      </c>
      <c r="AD20" s="6" t="s">
        <v>181</v>
      </c>
      <c r="AE20" s="6">
        <f>X19</f>
        <v>32.67</v>
      </c>
      <c r="AF20" s="6" t="s">
        <v>291</v>
      </c>
      <c r="AG20" s="17">
        <f>V19</f>
        <v>1.25</v>
      </c>
      <c r="AH20" s="6" t="s">
        <v>10</v>
      </c>
    </row>
    <row r="21" spans="1:34" x14ac:dyDescent="0.2">
      <c r="Q21" s="58"/>
      <c r="R21" s="58"/>
    </row>
    <row r="22" spans="1:34" ht="15" customHeight="1" x14ac:dyDescent="0.2">
      <c r="C22" s="13" t="s">
        <v>182</v>
      </c>
      <c r="D22" s="6" t="str">
        <f>CONCATENATE(T22,U22,V22,W22,X22,Y22,Z22,AA22,AB22,AC22,AD22,AE22,AF22,AG22,AH22,AI22,AJ22,AK22,AL22,AM22,AN22,AO22,AP22,AQ22,AR22,AS22,AT22,AU22,AV22,AW22)</f>
        <v xml:space="preserve">[( 7.5" (wide) x 2.5" (height)] x 1 / 144 sq ft/ sq in x 32.67 ft. Depth = </v>
      </c>
      <c r="Q22" s="99">
        <f>ROUND(V22*X22*Z22/AB22*AD22,2)</f>
        <v>4.25</v>
      </c>
      <c r="R22" s="99"/>
      <c r="S22" s="6" t="s">
        <v>184</v>
      </c>
      <c r="U22" s="6" t="s">
        <v>187</v>
      </c>
      <c r="V22" s="15">
        <v>7.5</v>
      </c>
      <c r="W22" s="6" t="s">
        <v>186</v>
      </c>
      <c r="X22" s="15">
        <v>2.5</v>
      </c>
      <c r="Y22" s="6" t="s">
        <v>189</v>
      </c>
      <c r="Z22" s="15">
        <v>1</v>
      </c>
      <c r="AA22" s="6" t="s">
        <v>15</v>
      </c>
      <c r="AB22" s="15">
        <v>144</v>
      </c>
      <c r="AC22" s="6" t="s">
        <v>188</v>
      </c>
      <c r="AD22" s="6">
        <f>X19</f>
        <v>32.67</v>
      </c>
      <c r="AE22" s="6" t="s">
        <v>185</v>
      </c>
    </row>
    <row r="23" spans="1:34" s="18" customFormat="1" ht="15" customHeight="1" x14ac:dyDescent="0.2">
      <c r="C23" s="71"/>
      <c r="D23" s="71"/>
      <c r="Q23" s="100"/>
      <c r="R23" s="100"/>
    </row>
    <row r="24" spans="1:34" x14ac:dyDescent="0.2">
      <c r="E24" s="13" t="s">
        <v>37</v>
      </c>
      <c r="F24" s="6" t="str">
        <f>CONCATENATE(T24,U24,V24,W24,X24,Y24,Z24,AA24,AB24,AC24,AD24,AE24,AF24,AG24,AH24,AI24,AJ24,AK24,AL24,AM24,AN24,AO24,AP24,AQ24,AR24,AS24,AT24,AU24,AV24,AW24)</f>
        <v xml:space="preserve">( 73.3 cu ft + 4.25 cu ft) x (1 / 27) = </v>
      </c>
      <c r="R24" s="6">
        <f>ROUND((W24+Y24)*(1/AE24),1)</f>
        <v>2.9</v>
      </c>
      <c r="S24" s="6" t="s">
        <v>191</v>
      </c>
      <c r="V24" s="17" t="s">
        <v>152</v>
      </c>
      <c r="W24" s="17">
        <f>Q20</f>
        <v>73.3</v>
      </c>
      <c r="X24" s="6" t="s">
        <v>106</v>
      </c>
      <c r="Y24" s="17">
        <f>Q22</f>
        <v>4.25</v>
      </c>
      <c r="AA24" s="17"/>
      <c r="AB24" s="6" t="s">
        <v>107</v>
      </c>
      <c r="AC24" s="15">
        <v>1</v>
      </c>
      <c r="AD24" s="6" t="s">
        <v>15</v>
      </c>
      <c r="AE24" s="15">
        <v>27</v>
      </c>
      <c r="AF24" s="6" t="s">
        <v>34</v>
      </c>
    </row>
    <row r="25" spans="1:34" x14ac:dyDescent="0.2">
      <c r="E25" s="13"/>
      <c r="V25" s="17"/>
      <c r="W25" s="17"/>
      <c r="Y25" s="17"/>
      <c r="AA25" s="17"/>
    </row>
    <row r="26" spans="1:34" ht="12.75" customHeight="1" x14ac:dyDescent="0.2">
      <c r="A26" s="18" t="s">
        <v>41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29"/>
    </row>
    <row r="27" spans="1:34" ht="12.75" customHeight="1" x14ac:dyDescent="0.2">
      <c r="C27" s="13" t="s">
        <v>30</v>
      </c>
      <c r="D27" s="6" t="str">
        <f>CONCATENATE(T27,U27,V27,W27,X27,Y27,Z27,AA27,AB27,AC27,AD27,AE27,AF27,AG27,AH27,AI27,AJ27,AK27,AL27,AM27,AN27,AO27,AP27,AQ27,AR27,AS27,AT27,AU27,AV27,AW27)</f>
        <v>Diaphragm Depth =  1.25 ft, Diaphagm Width = 32.67 ft</v>
      </c>
      <c r="I27" s="13"/>
      <c r="J27" s="13"/>
      <c r="K27" s="13"/>
      <c r="L27" s="13"/>
      <c r="M27" s="13"/>
      <c r="N27" s="13"/>
      <c r="O27" s="13"/>
      <c r="P27" s="13"/>
      <c r="Q27" s="96"/>
      <c r="R27" s="96"/>
      <c r="U27" s="6" t="s">
        <v>131</v>
      </c>
      <c r="V27" s="16">
        <v>1.25</v>
      </c>
      <c r="W27" s="6" t="s">
        <v>179</v>
      </c>
      <c r="X27" s="15">
        <v>32.67</v>
      </c>
      <c r="Y27" s="6" t="s">
        <v>9</v>
      </c>
    </row>
    <row r="28" spans="1:34" x14ac:dyDescent="0.2">
      <c r="D28" s="6" t="str">
        <f>CONCATENATE(T28,U28,W28,V28,X28,Y28,Z28,AA28,AB28,AC28,AD28,AE28,AF28,AG28,AH28,AI28,AJ28,AK28,AL28,AM28,AN28,AO28,AP28,AQ28,AR28,AS28,AT28,AU28,AV28,AW28)</f>
        <v xml:space="preserve">Area Face of Diaphragm =  { [(1.67 ft + 1.92 ft ) / 2 ] x 32.67 ft} x  1.25 ft = </v>
      </c>
      <c r="Q28" s="96">
        <f>ROUND(((Y28+AA28)/AC28)*AE28*AG28,2)</f>
        <v>73.3</v>
      </c>
      <c r="R28" s="96"/>
      <c r="S28" s="6" t="s">
        <v>20</v>
      </c>
      <c r="U28" s="6" t="s">
        <v>183</v>
      </c>
      <c r="X28" s="6" t="s">
        <v>90</v>
      </c>
      <c r="Y28" s="15">
        <f>ROUND(1+(8/12),2)</f>
        <v>1.67</v>
      </c>
      <c r="Z28" s="6" t="s">
        <v>56</v>
      </c>
      <c r="AA28" s="15">
        <f>ROUND(1+(11/12),2)</f>
        <v>1.92</v>
      </c>
      <c r="AB28" s="6" t="s">
        <v>248</v>
      </c>
      <c r="AC28" s="6">
        <v>2</v>
      </c>
      <c r="AD28" s="6" t="s">
        <v>181</v>
      </c>
      <c r="AE28" s="6">
        <f>X27</f>
        <v>32.67</v>
      </c>
      <c r="AF28" s="6" t="s">
        <v>291</v>
      </c>
      <c r="AG28" s="17">
        <f>V27</f>
        <v>1.25</v>
      </c>
      <c r="AH28" s="6" t="s">
        <v>10</v>
      </c>
    </row>
    <row r="29" spans="1:34" x14ac:dyDescent="0.2">
      <c r="Q29" s="58"/>
      <c r="R29" s="58"/>
    </row>
    <row r="30" spans="1:34" ht="15" customHeight="1" x14ac:dyDescent="0.2">
      <c r="C30" s="13" t="s">
        <v>182</v>
      </c>
      <c r="D30" s="6" t="str">
        <f>CONCATENATE(T30,U30,V30,W30,X30,Y30,Z30,AA30,AB30,AC30,AD30,AE30,AF30,AG30,AH30,AI30,AJ30,AK30,AL30,AM30,AN30,AO30,AP30,AQ30,AR30,AS30,AT30,AU30,AV30,AW30)</f>
        <v xml:space="preserve">[( 7.5" (wide) x 2.5" (height)] x 1 / 144 sq ft/ sq in x 32.67 ft. Depth = </v>
      </c>
      <c r="Q30" s="99">
        <f>ROUND(V30*X30*Z30/AB30*AD30,2)</f>
        <v>4.25</v>
      </c>
      <c r="R30" s="99"/>
      <c r="S30" s="6" t="s">
        <v>184</v>
      </c>
      <c r="U30" s="6" t="s">
        <v>187</v>
      </c>
      <c r="V30" s="15">
        <v>7.5</v>
      </c>
      <c r="W30" s="6" t="s">
        <v>186</v>
      </c>
      <c r="X30" s="15">
        <v>2.5</v>
      </c>
      <c r="Y30" s="6" t="s">
        <v>189</v>
      </c>
      <c r="Z30" s="15">
        <v>1</v>
      </c>
      <c r="AA30" s="6" t="s">
        <v>15</v>
      </c>
      <c r="AB30" s="15">
        <v>144</v>
      </c>
      <c r="AC30" s="6" t="s">
        <v>188</v>
      </c>
      <c r="AD30" s="6">
        <f>X27</f>
        <v>32.67</v>
      </c>
      <c r="AE30" s="6" t="s">
        <v>185</v>
      </c>
    </row>
    <row r="31" spans="1:34" ht="15" customHeight="1" x14ac:dyDescent="0.2">
      <c r="C31" s="13"/>
      <c r="D31" s="13"/>
      <c r="Q31" s="99"/>
      <c r="R31" s="99"/>
    </row>
    <row r="32" spans="1:34" x14ac:dyDescent="0.2">
      <c r="E32" s="13" t="s">
        <v>190</v>
      </c>
      <c r="F32" s="6" t="str">
        <f>CONCATENATE(V32,W32,X32,Y32,Z32,AA32,AB32,AC32,AD32,AE32,AF32,AG32,AH32,AI32,AJ32,AK32,AL32,AM32,AN32,AO32,AP32,AQ32,AR32,AS32,AT32,AU32,AV32,AW32)</f>
        <v xml:space="preserve">( 73.3 cu ft + 4.25 cu ft) x (1 / 27) = </v>
      </c>
      <c r="R32" s="6">
        <f>ROUND((W32+Y32)*(1/AE32),1)</f>
        <v>2.9</v>
      </c>
      <c r="S32" s="6" t="s">
        <v>191</v>
      </c>
      <c r="V32" s="17" t="s">
        <v>152</v>
      </c>
      <c r="W32" s="17">
        <f>Q28</f>
        <v>73.3</v>
      </c>
      <c r="X32" s="6" t="s">
        <v>106</v>
      </c>
      <c r="Y32" s="17">
        <f>Q30</f>
        <v>4.25</v>
      </c>
      <c r="AA32" s="17"/>
      <c r="AB32" s="6" t="s">
        <v>107</v>
      </c>
      <c r="AC32" s="15">
        <v>1</v>
      </c>
      <c r="AD32" s="6" t="s">
        <v>15</v>
      </c>
      <c r="AE32" s="15">
        <v>27</v>
      </c>
      <c r="AF32" s="6" t="s">
        <v>34</v>
      </c>
    </row>
    <row r="33" spans="1:42" x14ac:dyDescent="0.2">
      <c r="E33" s="13"/>
      <c r="V33" s="17"/>
      <c r="W33" s="17"/>
      <c r="Y33" s="17"/>
      <c r="AA33" s="17"/>
    </row>
    <row r="34" spans="1:42" x14ac:dyDescent="0.2">
      <c r="D34" s="13" t="s">
        <v>42</v>
      </c>
      <c r="E34" s="6" t="str">
        <f>CONCATENATE(T34,U34,V34,W34,X34,Y34,Z34,AA34,AB34,AC34,AD34,AE34,AF34,AG34,AH34,AI34,AJ34,AK34,AL34,AM34,AN34,AO34,AP34,AQ34,AR34,AS34,AT34,AU34,AV34,AW34)</f>
        <v>166.5 cu yd + 2.9 cu yd + 2.9 cu yd = 172.3 cu yd</v>
      </c>
      <c r="O34" s="14"/>
      <c r="P34" s="10" t="s">
        <v>18</v>
      </c>
      <c r="Q34" s="39">
        <f>ROUND(AE34,0)</f>
        <v>172</v>
      </c>
      <c r="R34" s="10" t="s">
        <v>43</v>
      </c>
      <c r="S34" s="14"/>
      <c r="T34" s="29"/>
      <c r="U34" s="6">
        <f>Q15</f>
        <v>166.5</v>
      </c>
      <c r="V34" s="6" t="s">
        <v>192</v>
      </c>
      <c r="W34" s="17">
        <f>R24</f>
        <v>2.9</v>
      </c>
      <c r="X34" s="6" t="s">
        <v>192</v>
      </c>
      <c r="Y34" s="17">
        <f>R32</f>
        <v>2.9</v>
      </c>
      <c r="Z34" s="6" t="s">
        <v>27</v>
      </c>
      <c r="AA34" s="17"/>
      <c r="AC34" s="17"/>
      <c r="AD34" s="6" t="s">
        <v>44</v>
      </c>
      <c r="AE34" s="72">
        <f>ROUND(U34+W34+Y34,2)</f>
        <v>172.3</v>
      </c>
      <c r="AF34" s="6" t="s">
        <v>27</v>
      </c>
    </row>
    <row r="35" spans="1:42" x14ac:dyDescent="0.2">
      <c r="D35" s="13"/>
      <c r="P35" s="11"/>
      <c r="Q35" s="45"/>
      <c r="R35" s="11"/>
      <c r="T35" s="29"/>
      <c r="W35" s="17"/>
      <c r="Y35" s="17"/>
      <c r="AA35" s="17"/>
      <c r="AC35" s="17"/>
      <c r="AE35" s="17"/>
    </row>
    <row r="36" spans="1:42" x14ac:dyDescent="0.2">
      <c r="A36" s="12" t="str">
        <f ca="1">CELL("filename")</f>
        <v>c:\users\mclark3\appdata\local\bentley\projectwise\workingdir\ohiodot-pw.bentley.com_ohiodot-pw-02\michael.clark@dot.ohio.gov\d0512215\[111085_Structure Calculations.xlsx]Sheet5</v>
      </c>
      <c r="E36" s="13"/>
      <c r="P36" s="11"/>
      <c r="Q36" s="45"/>
      <c r="R36" s="11"/>
      <c r="T36" s="29"/>
      <c r="U36" s="17"/>
      <c r="W36" s="17"/>
      <c r="Y36" s="17"/>
      <c r="AA36" s="17"/>
      <c r="AC36" s="17"/>
    </row>
    <row r="37" spans="1:42" ht="12.75" customHeight="1" x14ac:dyDescent="0.2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29"/>
      <c r="U37" s="17"/>
      <c r="W37" s="17"/>
      <c r="Y37" s="17"/>
      <c r="AA37" s="17"/>
      <c r="AC37" s="17"/>
    </row>
    <row r="38" spans="1:42" x14ac:dyDescent="0.2">
      <c r="A38" s="43"/>
      <c r="N38" s="49"/>
    </row>
    <row r="39" spans="1:42" x14ac:dyDescent="0.2">
      <c r="A39" s="20"/>
    </row>
    <row r="40" spans="1:42" x14ac:dyDescent="0.2">
      <c r="A40" s="19"/>
    </row>
    <row r="41" spans="1:42" x14ac:dyDescent="0.2">
      <c r="B41" s="13"/>
      <c r="T41" s="29"/>
    </row>
    <row r="42" spans="1:42" x14ac:dyDescent="0.2">
      <c r="A42" s="19"/>
      <c r="AM42" s="38"/>
    </row>
    <row r="43" spans="1:42" x14ac:dyDescent="0.2">
      <c r="B43" s="13"/>
    </row>
    <row r="44" spans="1:42" x14ac:dyDescent="0.2">
      <c r="B44" s="13"/>
    </row>
    <row r="45" spans="1:42" x14ac:dyDescent="0.2">
      <c r="B45" s="13"/>
      <c r="U45" s="13"/>
    </row>
    <row r="46" spans="1:42" x14ac:dyDescent="0.2">
      <c r="B46" s="13"/>
      <c r="U46" s="13"/>
    </row>
    <row r="47" spans="1:42" x14ac:dyDescent="0.2">
      <c r="B47" s="13"/>
      <c r="U47" s="13"/>
      <c r="AP47" s="40"/>
    </row>
    <row r="48" spans="1:42" x14ac:dyDescent="0.2">
      <c r="B48" s="13"/>
      <c r="U48" s="13"/>
    </row>
    <row r="49" spans="1:42" x14ac:dyDescent="0.2">
      <c r="B49" s="13"/>
    </row>
    <row r="50" spans="1:42" x14ac:dyDescent="0.2">
      <c r="A50" s="12"/>
      <c r="T50" s="29"/>
      <c r="AP50" s="42"/>
    </row>
  </sheetData>
  <mergeCells count="19">
    <mergeCell ref="Q27:R27"/>
    <mergeCell ref="Q28:R28"/>
    <mergeCell ref="Q30:R30"/>
    <mergeCell ref="A37:S37"/>
    <mergeCell ref="Q15:R15"/>
    <mergeCell ref="Q20:R20"/>
    <mergeCell ref="Q22:R22"/>
    <mergeCell ref="Q31:R31"/>
    <mergeCell ref="Q23:R23"/>
    <mergeCell ref="N1:O1"/>
    <mergeCell ref="R1:S1"/>
    <mergeCell ref="B2:D2"/>
    <mergeCell ref="N2:O2"/>
    <mergeCell ref="R2:S2"/>
    <mergeCell ref="Q8:R8"/>
    <mergeCell ref="Q13:R13"/>
    <mergeCell ref="B3:C3"/>
    <mergeCell ref="Q10:R10"/>
    <mergeCell ref="Q19:R19"/>
  </mergeCells>
  <pageMargins left="0.7" right="0.5" top="0.5" bottom="0.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50"/>
  <sheetViews>
    <sheetView tabSelected="1" zoomScaleNormal="100" zoomScaleSheetLayoutView="100" workbookViewId="0">
      <selection activeCell="AD10" sqref="AD10"/>
    </sheetView>
  </sheetViews>
  <sheetFormatPr defaultRowHeight="12.75" x14ac:dyDescent="0.2"/>
  <cols>
    <col min="1" max="1" width="6.7109375" style="6" customWidth="1"/>
    <col min="2" max="27" width="4.7109375" style="6" customWidth="1"/>
    <col min="28" max="28" width="6" style="6" bestFit="1" customWidth="1"/>
    <col min="29" max="41" width="4.7109375" style="6" customWidth="1"/>
    <col min="42" max="42" width="8.28515625" style="6" customWidth="1"/>
    <col min="43" max="49" width="4.7109375" style="6" customWidth="1"/>
    <col min="50" max="16384" width="9.140625" style="6"/>
  </cols>
  <sheetData>
    <row r="1" spans="1:40" customFormat="1" ht="15" x14ac:dyDescent="0.25">
      <c r="A1" s="1" t="s">
        <v>0</v>
      </c>
      <c r="B1" s="1"/>
      <c r="C1" s="1"/>
      <c r="K1" s="2"/>
      <c r="L1" s="2"/>
      <c r="M1" s="3" t="s">
        <v>1</v>
      </c>
      <c r="N1" s="82" t="s">
        <v>262</v>
      </c>
      <c r="O1" s="82"/>
      <c r="P1" s="2"/>
      <c r="Q1" s="3" t="s">
        <v>2</v>
      </c>
      <c r="R1" s="83">
        <v>45699</v>
      </c>
      <c r="S1" s="82"/>
      <c r="T1" s="29"/>
      <c r="U1" s="1"/>
    </row>
    <row r="2" spans="1:40" customFormat="1" ht="15" x14ac:dyDescent="0.25">
      <c r="A2" s="4" t="s">
        <v>3</v>
      </c>
      <c r="B2" s="75" t="s">
        <v>263</v>
      </c>
      <c r="C2" s="75"/>
      <c r="D2" s="75"/>
      <c r="K2" s="2"/>
      <c r="L2" s="2"/>
      <c r="M2" s="3" t="s">
        <v>4</v>
      </c>
      <c r="N2" s="84" t="s">
        <v>292</v>
      </c>
      <c r="O2" s="84"/>
      <c r="P2" s="2"/>
      <c r="Q2" s="3" t="s">
        <v>2</v>
      </c>
      <c r="R2" s="85">
        <v>45754</v>
      </c>
      <c r="S2" s="84"/>
      <c r="T2" s="28"/>
      <c r="U2" s="30"/>
    </row>
    <row r="3" spans="1:40" customFormat="1" ht="15" x14ac:dyDescent="0.25">
      <c r="A3" s="4" t="s">
        <v>5</v>
      </c>
      <c r="B3" s="75">
        <v>111085</v>
      </c>
      <c r="C3" s="75"/>
      <c r="K3" s="2"/>
      <c r="L3" s="2"/>
      <c r="M3" s="2"/>
      <c r="N3" s="2"/>
      <c r="O3" s="2"/>
      <c r="P3" s="2" t="s">
        <v>6</v>
      </c>
      <c r="Q3" s="8">
        <v>3</v>
      </c>
      <c r="R3" s="2" t="s">
        <v>7</v>
      </c>
      <c r="S3" s="8">
        <v>6</v>
      </c>
    </row>
    <row r="4" spans="1:40" s="5" customFormat="1" ht="8.1" customHeight="1" thickBot="1" x14ac:dyDescent="0.25"/>
    <row r="6" spans="1:40" x14ac:dyDescent="0.2">
      <c r="A6" s="67" t="s">
        <v>298</v>
      </c>
      <c r="N6" s="49"/>
    </row>
    <row r="7" spans="1:40" x14ac:dyDescent="0.2">
      <c r="A7" s="20" t="s">
        <v>29</v>
      </c>
    </row>
    <row r="8" spans="1:40" x14ac:dyDescent="0.2">
      <c r="A8" s="19" t="s">
        <v>130</v>
      </c>
    </row>
    <row r="9" spans="1:40" ht="12.75" customHeight="1" x14ac:dyDescent="0.2">
      <c r="B9" s="6" t="str">
        <f>CONCATENATE(T9,U9,V9,W9,X9,Y9,Z9,AA9,AB9,AC9,AD9,AE9,AF9,AG9,AH9,AI9,AJ9,AK9,AL9,AM9,AN9,AO9,AP9,AQ9,AR9,AS9,AT9,AU9,AV9,AW9)</f>
        <v>Depth =  2.5 ft;  Length = 37.38 ft; Height = 2.14 ft</v>
      </c>
      <c r="C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U9" s="6" t="s">
        <v>198</v>
      </c>
      <c r="V9" s="16">
        <v>2.5</v>
      </c>
      <c r="W9" s="6" t="s">
        <v>199</v>
      </c>
      <c r="Y9" s="16">
        <f>ROUND(37+(4.5/12),2)</f>
        <v>37.380000000000003</v>
      </c>
      <c r="Z9" s="6" t="s">
        <v>200</v>
      </c>
      <c r="AA9" s="16">
        <v>2.14</v>
      </c>
      <c r="AB9" s="6" t="s">
        <v>9</v>
      </c>
    </row>
    <row r="10" spans="1:40" x14ac:dyDescent="0.2">
      <c r="A10" s="6" t="s">
        <v>32</v>
      </c>
      <c r="C10" s="13" t="s">
        <v>139</v>
      </c>
      <c r="D10" s="6" t="str">
        <f>CONCATENATE(T10,U10,V10,W10,X10,Y10,Z10,AA10,AB10,AC10,AD10,AE10,AF10,AG10,AH10,AI10,AJ10,AK10,AL10,AM10,AN10,AO10,AP10,AQ10,AR10,AS10,AT10,AU10,AV10,AW10)</f>
        <v xml:space="preserve">Depth x Length x Height = 2.5 ft x 37.38 ft x 2.14 ft =  199.98 cu ft </v>
      </c>
      <c r="N10" s="50"/>
      <c r="U10" s="6" t="s">
        <v>201</v>
      </c>
      <c r="V10" s="6">
        <f>V9</f>
        <v>2.5</v>
      </c>
      <c r="W10" s="6" t="s">
        <v>8</v>
      </c>
      <c r="X10" s="17">
        <f>Y9</f>
        <v>37.380000000000003</v>
      </c>
      <c r="Y10" s="6" t="s">
        <v>8</v>
      </c>
      <c r="Z10" s="17">
        <f>AA9</f>
        <v>2.14</v>
      </c>
      <c r="AA10" s="6" t="s">
        <v>202</v>
      </c>
      <c r="AB10" s="34">
        <f>ROUND(V10*X10*Z10,2)</f>
        <v>199.98</v>
      </c>
      <c r="AC10" s="6" t="s">
        <v>33</v>
      </c>
    </row>
    <row r="11" spans="1:40" x14ac:dyDescent="0.2">
      <c r="C11" s="13"/>
      <c r="N11" s="50"/>
    </row>
    <row r="12" spans="1:40" x14ac:dyDescent="0.2">
      <c r="A12" s="6" t="s">
        <v>203</v>
      </c>
      <c r="C12" s="13"/>
    </row>
    <row r="13" spans="1:40" x14ac:dyDescent="0.2">
      <c r="C13" s="13" t="s">
        <v>110</v>
      </c>
      <c r="D13" s="6" t="str">
        <f>CONCATENATE(T13,U13,V13,W13,X13,Y13,Z13,AA13,AB13,AC13,AD13,AE13,AF13,AG13,AH13,AI13,AJ13,AK13,AL13,AM13,AN13,AO13,AP13,AQ13,AR13,AS13,AT13,AU13,AV13,AW13)</f>
        <v>(32.67 ft x 0.63 ft x 0.21 ft ) = 4.32 cu ft</v>
      </c>
      <c r="T13" s="6" t="s">
        <v>38</v>
      </c>
      <c r="U13" s="15">
        <v>32.67</v>
      </c>
      <c r="V13" s="53" t="s">
        <v>8</v>
      </c>
      <c r="W13" s="15">
        <f>ROUND((7.5/12),2)</f>
        <v>0.63</v>
      </c>
      <c r="X13" s="53" t="s">
        <v>8</v>
      </c>
      <c r="Y13" s="15">
        <f>ROUND((2.5/12),2)</f>
        <v>0.21</v>
      </c>
      <c r="Z13" s="53" t="s">
        <v>207</v>
      </c>
      <c r="AA13" s="34">
        <f>ROUND(U13*W13*Y13,2)</f>
        <v>4.32</v>
      </c>
      <c r="AB13" s="6" t="s">
        <v>36</v>
      </c>
    </row>
    <row r="14" spans="1:40" x14ac:dyDescent="0.2">
      <c r="A14" s="6" t="s">
        <v>204</v>
      </c>
      <c r="C14" s="13"/>
    </row>
    <row r="15" spans="1:40" x14ac:dyDescent="0.2">
      <c r="C15" s="13" t="s">
        <v>208</v>
      </c>
      <c r="D15" s="6" t="str">
        <f>CONCATENATE(T15,U15,V15,W15,X15,Y15,Z15,AA15,AB15,AC15,AD15,AE15,AF15,AG15,AH15,AI15,AJ15,AK15,AL15,AM15,AN15,AO15,AP15,AQ15,AR15,AS15,AT15,AU15,AV15,AW15)</f>
        <v>(8 each x 0.63 ft x 0.25 ft x 0.23 ft =  0.29 cu ft   Ave. D = (0.21' + 0.25') / 2 = 0.23 ft</v>
      </c>
      <c r="T15" s="6" t="s">
        <v>38</v>
      </c>
      <c r="U15" s="15">
        <v>8</v>
      </c>
      <c r="V15" s="53" t="s">
        <v>205</v>
      </c>
      <c r="W15" s="15">
        <f>ROUND((7.5/12),2)</f>
        <v>0.63</v>
      </c>
      <c r="X15" s="53" t="s">
        <v>8</v>
      </c>
      <c r="Y15" s="15">
        <f>ROUND((3/12),2)</f>
        <v>0.25</v>
      </c>
      <c r="Z15" s="53" t="s">
        <v>8</v>
      </c>
      <c r="AA15" s="6">
        <f>AM15</f>
        <v>0.23</v>
      </c>
      <c r="AB15" s="6" t="s">
        <v>202</v>
      </c>
      <c r="AC15" s="34">
        <f>ROUND(U15*W15*Y15*AA15,2)</f>
        <v>0.28999999999999998</v>
      </c>
      <c r="AD15" s="6" t="s">
        <v>36</v>
      </c>
      <c r="AF15" s="6" t="s">
        <v>206</v>
      </c>
      <c r="AG15" s="15">
        <f>ROUND((2.5/12),2)</f>
        <v>0.21</v>
      </c>
      <c r="AH15" s="53" t="s">
        <v>133</v>
      </c>
      <c r="AI15" s="15">
        <f>ROUND((3/12),2)</f>
        <v>0.25</v>
      </c>
      <c r="AJ15" s="53" t="s">
        <v>134</v>
      </c>
      <c r="AK15" s="6">
        <v>2</v>
      </c>
      <c r="AL15" s="6" t="s">
        <v>44</v>
      </c>
      <c r="AM15" s="34">
        <f>ROUND((AG15+AI15)/AK15,2)</f>
        <v>0.23</v>
      </c>
      <c r="AN15" s="6" t="s">
        <v>9</v>
      </c>
    </row>
    <row r="16" spans="1:40" x14ac:dyDescent="0.2">
      <c r="C16" s="13" t="s">
        <v>209</v>
      </c>
      <c r="D16" s="6" t="str">
        <f>CONCATENATE(T16,U16,V16,W16,X16,Y16,Z16,AA16,AB16,AC16,AD16,AE16,AF16,AG16,AH16,AI16,AJ16,AK16,AL16,AM16,AN16,AO16,AP16,AQ16,AR16,AS16,AT16,AU16,AV16,AW16)</f>
        <v>(V deduct1 + V deduct2) = 4.32 cu ft + 0.29 cu ft = 4.61 cu ft</v>
      </c>
      <c r="T16" s="6" t="s">
        <v>210</v>
      </c>
      <c r="V16" s="53"/>
      <c r="X16" s="53"/>
      <c r="Y16" s="15">
        <f>AA13</f>
        <v>4.32</v>
      </c>
      <c r="Z16" s="6" t="s">
        <v>106</v>
      </c>
      <c r="AA16" s="6">
        <f>AC15</f>
        <v>0.28999999999999998</v>
      </c>
      <c r="AB16" s="6" t="s">
        <v>211</v>
      </c>
      <c r="AC16" s="34">
        <f>AA13+AC15</f>
        <v>4.6100000000000003</v>
      </c>
      <c r="AD16" s="6" t="s">
        <v>36</v>
      </c>
      <c r="AH16" s="53"/>
      <c r="AJ16" s="53"/>
    </row>
    <row r="17" spans="1:42" x14ac:dyDescent="0.2">
      <c r="B17" s="13"/>
      <c r="T17" s="29"/>
    </row>
    <row r="18" spans="1:42" x14ac:dyDescent="0.2">
      <c r="A18" s="19" t="s">
        <v>113</v>
      </c>
      <c r="E18" s="6" t="s">
        <v>215</v>
      </c>
      <c r="AM18" s="38"/>
    </row>
    <row r="19" spans="1:42" x14ac:dyDescent="0.2">
      <c r="B19" s="13" t="s">
        <v>49</v>
      </c>
      <c r="C19" s="6" t="str">
        <f t="shared" ref="C19:C22" si="0">CONCATENATE(T19,U19,V19,W19,X19,Y19,Z19,AA19,AB19,AC19,AD19,AE19,AF19,AG19,AH19,AI19,AJ19,AK19,AL19,AM19,AN19,AO19,AP19,AQ19,AR19,AS19,AT19,AU19,AV19,AW19)</f>
        <v>(Average Length x Depth x Height)</v>
      </c>
      <c r="U19" s="6" t="s">
        <v>147</v>
      </c>
    </row>
    <row r="20" spans="1:42" x14ac:dyDescent="0.2">
      <c r="B20" s="13" t="s">
        <v>85</v>
      </c>
      <c r="C20" s="6" t="str">
        <f>CONCATENATE(T20,U20,V20,W20,X20,Y20,Z20,AA20,AB20,AC20,AD20,AE20,AF20,AG20,AH20,AI20,AJ20,AK20,AL20,AM20,AN20,AP20,AQ20,AR20,AS20,AT20,AU20,AV20,AW20)</f>
        <v>SAR1 x T = 2.36 ft x 2.5ft x 1.68 ft = 9.91 cu ft        Ave. L = (2.14' + 2.57') / 2 = 2.36 ft</v>
      </c>
      <c r="U20" s="13" t="s">
        <v>111</v>
      </c>
      <c r="V20" s="6" t="s">
        <v>103</v>
      </c>
      <c r="W20" s="15">
        <f>AM20</f>
        <v>2.36</v>
      </c>
      <c r="X20" s="6" t="s">
        <v>8</v>
      </c>
      <c r="Y20" s="15">
        <v>2.5</v>
      </c>
      <c r="Z20" s="6" t="s">
        <v>136</v>
      </c>
      <c r="AA20" s="15">
        <v>1.68</v>
      </c>
      <c r="AB20" s="6" t="s">
        <v>10</v>
      </c>
      <c r="AC20" s="34">
        <f>ROUND(W20*Y20*AA20,2)</f>
        <v>9.91</v>
      </c>
      <c r="AD20" s="6" t="s">
        <v>36</v>
      </c>
      <c r="AE20" s="6" t="s">
        <v>132</v>
      </c>
      <c r="AF20" s="6" t="s">
        <v>135</v>
      </c>
      <c r="AG20" s="15">
        <f>ROUND(2+(1.625/12),2)</f>
        <v>2.14</v>
      </c>
      <c r="AH20" s="53" t="s">
        <v>133</v>
      </c>
      <c r="AI20" s="15">
        <f>ROUND(2+(6.875/12),2)</f>
        <v>2.57</v>
      </c>
      <c r="AJ20" s="53" t="s">
        <v>134</v>
      </c>
      <c r="AK20" s="6">
        <v>2</v>
      </c>
      <c r="AL20" s="6" t="s">
        <v>44</v>
      </c>
      <c r="AM20" s="34">
        <f>ROUND((AG20+AI20)/AK20,2)</f>
        <v>2.36</v>
      </c>
      <c r="AN20" s="6" t="s">
        <v>9</v>
      </c>
    </row>
    <row r="21" spans="1:42" x14ac:dyDescent="0.2">
      <c r="B21" s="13" t="s">
        <v>86</v>
      </c>
      <c r="C21" s="6" t="str">
        <f t="shared" ref="C21" si="1">CONCATENATE(T21,U21,V21,W21,X21,Y21,Z21,AA21,AB21,AC21,AD21,AE21,AF21,AG21,AH21,AI21,AJ21,AK21,AL21,AM21,AN21,AP21,AQ21,AR21,AS21,AT21,AU21,AV21,AW21)</f>
        <v>SAL1 x T = 2.36 ft x 2.5ft x 1.68 ft = 9.91 cu ft         Ave. L = (2.14' + 2.57') / 2 = 2.36 ft</v>
      </c>
      <c r="U21" s="13" t="s">
        <v>112</v>
      </c>
      <c r="V21" s="6" t="s">
        <v>103</v>
      </c>
      <c r="W21" s="15">
        <f t="shared" ref="W21" si="2">AM21</f>
        <v>2.36</v>
      </c>
      <c r="X21" s="6" t="s">
        <v>8</v>
      </c>
      <c r="Y21" s="15">
        <v>2.5</v>
      </c>
      <c r="Z21" s="6" t="s">
        <v>136</v>
      </c>
      <c r="AA21" s="15">
        <v>1.68</v>
      </c>
      <c r="AB21" s="6" t="s">
        <v>10</v>
      </c>
      <c r="AC21" s="34">
        <f t="shared" ref="AC21" si="3">ROUND(W21*Y21*AA21,2)</f>
        <v>9.91</v>
      </c>
      <c r="AD21" s="6" t="s">
        <v>36</v>
      </c>
      <c r="AF21" s="6" t="s">
        <v>137</v>
      </c>
      <c r="AG21" s="15">
        <f>ROUND(2+(1.625/12),2)</f>
        <v>2.14</v>
      </c>
      <c r="AH21" s="53" t="s">
        <v>133</v>
      </c>
      <c r="AI21" s="15">
        <f>ROUND(2+(6.875/12),2)</f>
        <v>2.57</v>
      </c>
      <c r="AJ21" s="53" t="s">
        <v>134</v>
      </c>
      <c r="AK21" s="6">
        <v>2</v>
      </c>
      <c r="AL21" s="6" t="s">
        <v>44</v>
      </c>
      <c r="AM21" s="34">
        <f t="shared" ref="AM21" si="4">ROUND((AG21+AI21)/AK21,2)</f>
        <v>2.36</v>
      </c>
      <c r="AN21" s="6" t="s">
        <v>9</v>
      </c>
      <c r="AP21" s="40"/>
    </row>
    <row r="22" spans="1:42" x14ac:dyDescent="0.2">
      <c r="B22" s="13" t="s">
        <v>49</v>
      </c>
      <c r="C22" s="6" t="str">
        <f t="shared" si="0"/>
        <v>9.91 + 9.91 = 19.82 cu ft</v>
      </c>
      <c r="U22" s="6">
        <f>AC20</f>
        <v>9.91</v>
      </c>
      <c r="V22" s="6" t="s">
        <v>39</v>
      </c>
      <c r="Y22" s="6">
        <f>AC21</f>
        <v>9.91</v>
      </c>
      <c r="AB22" s="6" t="s">
        <v>44</v>
      </c>
      <c r="AC22" s="6">
        <f>SUM(AC20:AC21)</f>
        <v>19.82</v>
      </c>
      <c r="AD22" s="6" t="s">
        <v>36</v>
      </c>
    </row>
    <row r="23" spans="1:42" x14ac:dyDescent="0.2">
      <c r="A23" s="43"/>
    </row>
    <row r="24" spans="1:42" x14ac:dyDescent="0.2">
      <c r="A24" s="20" t="s">
        <v>140</v>
      </c>
      <c r="N24" s="49"/>
      <c r="AP24" s="41"/>
    </row>
    <row r="25" spans="1:42" x14ac:dyDescent="0.2">
      <c r="E25" s="13" t="s">
        <v>37</v>
      </c>
      <c r="F25" s="6" t="str">
        <f>CONCATENATE(T25,U25,V25,W25,X25,Y25,Z25,AA25,AB25,AC25,AD25,AE25,AF25,AG25,AH25,AI25,AJ25,AK25,AL25,AM25,AN25,AO25,AP25,AQ25,AR25,AS25,AT25,AU25,AV25,AW25)</f>
        <v>V rbw + V rww - V deduct = (199.98 + 19.82 - 4.61 cu ft) x (1 / 27) = 8 cu yd</v>
      </c>
      <c r="U25" s="6" t="s">
        <v>138</v>
      </c>
      <c r="V25" s="17" t="s">
        <v>38</v>
      </c>
      <c r="W25" s="17">
        <f>AB10</f>
        <v>199.98</v>
      </c>
      <c r="X25" s="6" t="s">
        <v>39</v>
      </c>
      <c r="Y25" s="17">
        <f>AC22</f>
        <v>19.82</v>
      </c>
      <c r="Z25" s="6" t="s">
        <v>40</v>
      </c>
      <c r="AA25" s="17">
        <f>AC16</f>
        <v>4.6100000000000003</v>
      </c>
      <c r="AB25" s="6" t="s">
        <v>107</v>
      </c>
      <c r="AC25" s="15">
        <v>1</v>
      </c>
      <c r="AD25" s="6" t="s">
        <v>15</v>
      </c>
      <c r="AE25" s="15">
        <v>27</v>
      </c>
      <c r="AF25" s="6" t="s">
        <v>34</v>
      </c>
      <c r="AG25" s="34">
        <f>ROUND((W25+Y25-AA25)*(1/AE25),1)</f>
        <v>8</v>
      </c>
      <c r="AH25" s="6" t="s">
        <v>27</v>
      </c>
    </row>
    <row r="26" spans="1:42" x14ac:dyDescent="0.2">
      <c r="E26" s="13"/>
      <c r="V26" s="17"/>
      <c r="W26" s="17"/>
      <c r="Y26" s="17"/>
      <c r="AA26" s="17"/>
    </row>
    <row r="27" spans="1:42" x14ac:dyDescent="0.2">
      <c r="A27" s="20" t="s">
        <v>41</v>
      </c>
      <c r="B27" s="13"/>
    </row>
    <row r="28" spans="1:42" x14ac:dyDescent="0.2">
      <c r="A28" s="19" t="s">
        <v>130</v>
      </c>
    </row>
    <row r="29" spans="1:42" ht="12.75" customHeight="1" x14ac:dyDescent="0.2">
      <c r="B29" s="6" t="str">
        <f>CONCATENATE(T29,U29,V29,W29,X29,Y29,Z29,AA29,AB29,AC29,AD29,AE29,AF29,AG29,AH29,AI29,AJ29,AK29,AL29,AM29,AN29,AO29,AP29,AQ29,AR29,AS29,AT29,AU29,AV29,AW29)</f>
        <v>Depth =  2.5 ft;  Length = 37.38 ft; Height = 2.19 ft</v>
      </c>
      <c r="C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U29" s="6" t="s">
        <v>198</v>
      </c>
      <c r="V29" s="16">
        <v>2.5</v>
      </c>
      <c r="W29" s="6" t="s">
        <v>199</v>
      </c>
      <c r="Y29" s="16">
        <f>ROUND(37+(4.5/12),2)</f>
        <v>37.380000000000003</v>
      </c>
      <c r="Z29" s="6" t="s">
        <v>200</v>
      </c>
      <c r="AA29" s="16">
        <v>2.19</v>
      </c>
      <c r="AB29" s="6" t="s">
        <v>9</v>
      </c>
    </row>
    <row r="30" spans="1:42" x14ac:dyDescent="0.2">
      <c r="A30" s="6" t="s">
        <v>32</v>
      </c>
      <c r="C30" s="13" t="s">
        <v>141</v>
      </c>
      <c r="D30" s="6" t="str">
        <f>CONCATENATE(T30,U30,V30,W30,X30,Y30,Z30,AA30,AB30,AC30,AD30,AE30,AF30,AG30,AH30,AI30,AJ30,AK30,AL30,AM30,AN30,AO30,AP30,AQ30,AR30,AS30,AT30,AU30,AV30,AW30)</f>
        <v xml:space="preserve">Depth x Length x Height = 2.5 ft x 37.38 ft x 2.19 ft =  204.66 cu ft </v>
      </c>
      <c r="N30" s="50"/>
      <c r="U30" s="6" t="s">
        <v>201</v>
      </c>
      <c r="V30" s="6">
        <f>V29</f>
        <v>2.5</v>
      </c>
      <c r="W30" s="6" t="s">
        <v>8</v>
      </c>
      <c r="X30" s="17">
        <f>Y29</f>
        <v>37.380000000000003</v>
      </c>
      <c r="Y30" s="6" t="s">
        <v>8</v>
      </c>
      <c r="Z30" s="17">
        <f>AA29</f>
        <v>2.19</v>
      </c>
      <c r="AA30" s="6" t="s">
        <v>202</v>
      </c>
      <c r="AB30" s="34">
        <f>ROUND(V30*X30*Z30,2)</f>
        <v>204.66</v>
      </c>
      <c r="AC30" s="6" t="s">
        <v>33</v>
      </c>
    </row>
    <row r="31" spans="1:42" x14ac:dyDescent="0.2">
      <c r="C31" s="13"/>
      <c r="N31" s="50"/>
    </row>
    <row r="32" spans="1:42" x14ac:dyDescent="0.2">
      <c r="A32" s="6" t="s">
        <v>203</v>
      </c>
      <c r="C32" s="13"/>
    </row>
    <row r="33" spans="1:42" x14ac:dyDescent="0.2">
      <c r="C33" s="13" t="s">
        <v>110</v>
      </c>
      <c r="D33" s="6" t="str">
        <f>CONCATENATE(T33,U33,V33,W33,X33,Y33,Z33,AA33,AB33,AC33,AD33,AE33,AF33,AG33,AH33,AI33,AJ33,AK33,AL33,AM33,AN33,AO33,AP33,AQ33,AR33,AS33,AT33,AU33,AV33,AW33)</f>
        <v>(32.67 ft x 0.63 ft x 0.21 ft ) = 4.32 cu ft</v>
      </c>
      <c r="T33" s="6" t="s">
        <v>38</v>
      </c>
      <c r="U33" s="15">
        <v>32.67</v>
      </c>
      <c r="V33" s="53" t="s">
        <v>8</v>
      </c>
      <c r="W33" s="15">
        <f>ROUND((7.5/12),2)</f>
        <v>0.63</v>
      </c>
      <c r="X33" s="53" t="s">
        <v>8</v>
      </c>
      <c r="Y33" s="15">
        <f>ROUND((2.5/12),2)</f>
        <v>0.21</v>
      </c>
      <c r="Z33" s="53" t="s">
        <v>207</v>
      </c>
      <c r="AA33" s="34">
        <f>ROUND(U33*W33*Y33,2)</f>
        <v>4.32</v>
      </c>
      <c r="AB33" s="6" t="s">
        <v>36</v>
      </c>
    </row>
    <row r="34" spans="1:42" x14ac:dyDescent="0.2">
      <c r="A34" s="6" t="s">
        <v>204</v>
      </c>
      <c r="C34" s="13"/>
    </row>
    <row r="35" spans="1:42" x14ac:dyDescent="0.2">
      <c r="C35" s="13" t="s">
        <v>208</v>
      </c>
      <c r="D35" s="6" t="str">
        <f>CONCATENATE(T35,U35,V35,W35,X35,Y35,Z35,AA35,AB35,AC35,AD35,AE35,AF35,AG35,AH35,AI35,AJ35,AK35,AL35,AM35,AN35,AO35,AP35,AQ35,AR35,AS35,AT35,AU35,AV35,AW35)</f>
        <v>(8 each x 0.63 ft x 0.25 ft x 0.23 ft =  0.29 cu ft   Ave. D = (0.21' + 0.25') / 2 = 0.23 ft</v>
      </c>
      <c r="T35" s="6" t="s">
        <v>38</v>
      </c>
      <c r="U35" s="15">
        <v>8</v>
      </c>
      <c r="V35" s="53" t="s">
        <v>205</v>
      </c>
      <c r="W35" s="15">
        <f>ROUND((7.5/12),2)</f>
        <v>0.63</v>
      </c>
      <c r="X35" s="53" t="s">
        <v>8</v>
      </c>
      <c r="Y35" s="15">
        <f>ROUND((3/12),2)</f>
        <v>0.25</v>
      </c>
      <c r="Z35" s="53" t="s">
        <v>8</v>
      </c>
      <c r="AA35" s="6">
        <f>AM35</f>
        <v>0.23</v>
      </c>
      <c r="AB35" s="6" t="s">
        <v>202</v>
      </c>
      <c r="AC35" s="34">
        <f>ROUND(U35*W35*Y35*AA35,2)</f>
        <v>0.28999999999999998</v>
      </c>
      <c r="AD35" s="6" t="s">
        <v>36</v>
      </c>
      <c r="AF35" s="6" t="s">
        <v>206</v>
      </c>
      <c r="AG35" s="15">
        <f>ROUND((2.5/12),2)</f>
        <v>0.21</v>
      </c>
      <c r="AH35" s="53" t="s">
        <v>133</v>
      </c>
      <c r="AI35" s="15">
        <f>ROUND((3/12),2)</f>
        <v>0.25</v>
      </c>
      <c r="AJ35" s="53" t="s">
        <v>134</v>
      </c>
      <c r="AK35" s="6">
        <v>2</v>
      </c>
      <c r="AL35" s="6" t="s">
        <v>44</v>
      </c>
      <c r="AM35" s="34">
        <f>ROUND((AG35+AI35)/AK35,2)</f>
        <v>0.23</v>
      </c>
      <c r="AN35" s="6" t="s">
        <v>9</v>
      </c>
    </row>
    <row r="36" spans="1:42" x14ac:dyDescent="0.2">
      <c r="C36" s="13" t="s">
        <v>209</v>
      </c>
      <c r="D36" s="6" t="str">
        <f>CONCATENATE(T36,U36,V36,W36,X36,Y36,Z36,AA36,AB36,AC36,AD36,AE36,AF36,AG36,AH36,AI36,AJ36,AK36,AL36,AM36,AN36,AO36,AP36,AQ36,AR36,AS36,AT36,AU36,AV36,AW36)</f>
        <v>(V deduct1 + V deduct2) = 4.32 cu ft + 0.29 cu ft = 4.61 cu ft</v>
      </c>
      <c r="T36" s="6" t="s">
        <v>210</v>
      </c>
      <c r="V36" s="53"/>
      <c r="X36" s="53"/>
      <c r="Y36" s="6">
        <f>AA33</f>
        <v>4.32</v>
      </c>
      <c r="Z36" s="6" t="s">
        <v>106</v>
      </c>
      <c r="AA36" s="6">
        <f>AC35</f>
        <v>0.28999999999999998</v>
      </c>
      <c r="AB36" s="6" t="s">
        <v>211</v>
      </c>
      <c r="AC36" s="34">
        <f>AA33+AC35</f>
        <v>4.6100000000000003</v>
      </c>
      <c r="AD36" s="6" t="s">
        <v>36</v>
      </c>
      <c r="AH36" s="53"/>
      <c r="AJ36" s="53"/>
    </row>
    <row r="37" spans="1:42" x14ac:dyDescent="0.2">
      <c r="B37" s="13"/>
      <c r="T37" s="29"/>
    </row>
    <row r="38" spans="1:42" x14ac:dyDescent="0.2">
      <c r="A38" s="19" t="s">
        <v>113</v>
      </c>
      <c r="E38" s="6" t="s">
        <v>215</v>
      </c>
      <c r="AM38" s="38"/>
    </row>
    <row r="39" spans="1:42" x14ac:dyDescent="0.2">
      <c r="B39" s="13" t="s">
        <v>213</v>
      </c>
      <c r="C39" s="6" t="str">
        <f t="shared" ref="C39" si="5">CONCATENATE(T39,U39,V39,W39,X39,Y39,Z39,AA39,AB39,AC39,AD39,AE39,AF39,AG39,AH39,AI39,AJ39,AK39,AL39,AM39,AN39,AO39,AP39,AQ39,AR39,AS39,AT39,AU39,AV39,AW39)</f>
        <v>(Average Length x Depth x Height)</v>
      </c>
      <c r="U39" s="6" t="s">
        <v>147</v>
      </c>
    </row>
    <row r="40" spans="1:42" x14ac:dyDescent="0.2">
      <c r="B40" s="13" t="s">
        <v>85</v>
      </c>
      <c r="C40" s="6" t="str">
        <f>CONCATENATE(T40,U40,V40,W40,X40,Y40,Z40,AA40,AB40,AC40,AD40,AE40,AF40,AG40,AH40,AI40,AJ40,AK40,AL40,AM40,AN40,AP40,AQ40,AR40,AS40,AT40,AU40,AV40,AW40)</f>
        <v>SAR1 x T = 2.36 ft x 2.5ft x 1.67 ft = 9.85 cu ft        Ave. L = (2.14' + 2.57') / 2 = 2.36 ft</v>
      </c>
      <c r="U40" s="13" t="s">
        <v>111</v>
      </c>
      <c r="V40" s="6" t="s">
        <v>103</v>
      </c>
      <c r="W40" s="15">
        <f>AM40</f>
        <v>2.36</v>
      </c>
      <c r="X40" s="6" t="s">
        <v>8</v>
      </c>
      <c r="Y40" s="15">
        <v>2.5</v>
      </c>
      <c r="Z40" s="6" t="s">
        <v>136</v>
      </c>
      <c r="AA40" s="15">
        <v>1.67</v>
      </c>
      <c r="AB40" s="6" t="s">
        <v>10</v>
      </c>
      <c r="AC40" s="34">
        <f>ROUND(W40*Y40*AA40,2)</f>
        <v>9.85</v>
      </c>
      <c r="AD40" s="6" t="s">
        <v>36</v>
      </c>
      <c r="AE40" s="6" t="s">
        <v>132</v>
      </c>
      <c r="AF40" s="6" t="s">
        <v>135</v>
      </c>
      <c r="AG40" s="15">
        <f>ROUND(2+(1.625/12),2)</f>
        <v>2.14</v>
      </c>
      <c r="AH40" s="53" t="s">
        <v>133</v>
      </c>
      <c r="AI40" s="15">
        <f>ROUND(2+(6.875/12),2)</f>
        <v>2.57</v>
      </c>
      <c r="AJ40" s="53" t="s">
        <v>134</v>
      </c>
      <c r="AK40" s="6">
        <v>2</v>
      </c>
      <c r="AL40" s="6" t="s">
        <v>44</v>
      </c>
      <c r="AM40" s="34">
        <f>ROUND((AG40+AI40)/AK40,2)</f>
        <v>2.36</v>
      </c>
      <c r="AN40" s="6" t="s">
        <v>9</v>
      </c>
    </row>
    <row r="41" spans="1:42" x14ac:dyDescent="0.2">
      <c r="B41" s="13" t="s">
        <v>86</v>
      </c>
      <c r="C41" s="6" t="str">
        <f t="shared" ref="C41" si="6">CONCATENATE(T41,U41,V41,W41,X41,Y41,Z41,AA41,AB41,AC41,AD41,AE41,AF41,AG41,AH41,AI41,AJ41,AK41,AL41,AM41,AN41,AP41,AQ41,AR41,AS41,AT41,AU41,AV41,AW41)</f>
        <v>SAL1 x T = 2.36 ft x 2.5ft x 1.67 ft = 9.85 cu ft         Ave. L = (2.14' + 2.57') / 2 = 2.36 ft</v>
      </c>
      <c r="U41" s="13" t="s">
        <v>112</v>
      </c>
      <c r="V41" s="6" t="s">
        <v>103</v>
      </c>
      <c r="W41" s="15">
        <f t="shared" ref="W41" si="7">AM41</f>
        <v>2.36</v>
      </c>
      <c r="X41" s="6" t="s">
        <v>8</v>
      </c>
      <c r="Y41" s="15">
        <v>2.5</v>
      </c>
      <c r="Z41" s="6" t="s">
        <v>136</v>
      </c>
      <c r="AA41" s="15">
        <v>1.67</v>
      </c>
      <c r="AB41" s="6" t="s">
        <v>10</v>
      </c>
      <c r="AC41" s="34">
        <f t="shared" ref="AC41" si="8">ROUND(W41*Y41*AA41,2)</f>
        <v>9.85</v>
      </c>
      <c r="AD41" s="6" t="s">
        <v>36</v>
      </c>
      <c r="AF41" s="6" t="s">
        <v>137</v>
      </c>
      <c r="AG41" s="15">
        <f>ROUND(2+(1.625/12),2)</f>
        <v>2.14</v>
      </c>
      <c r="AH41" s="53" t="s">
        <v>133</v>
      </c>
      <c r="AI41" s="15">
        <f>ROUND(2+(6.875/12),2)</f>
        <v>2.57</v>
      </c>
      <c r="AJ41" s="53" t="s">
        <v>134</v>
      </c>
      <c r="AK41" s="6">
        <v>2</v>
      </c>
      <c r="AL41" s="6" t="s">
        <v>44</v>
      </c>
      <c r="AM41" s="34">
        <f t="shared" ref="AM41" si="9">ROUND((AG41+AI41)/AK41,2)</f>
        <v>2.36</v>
      </c>
      <c r="AN41" s="6" t="s">
        <v>9</v>
      </c>
      <c r="AP41" s="40"/>
    </row>
    <row r="42" spans="1:42" x14ac:dyDescent="0.2">
      <c r="B42" s="13" t="s">
        <v>213</v>
      </c>
      <c r="C42" s="6" t="str">
        <f t="shared" ref="C42" si="10">CONCATENATE(T42,U42,V42,W42,X42,Y42,Z42,AA42,AB42,AC42,AD42,AE42,AF42,AG42,AH42,AI42,AJ42,AK42,AL42,AM42,AN42,AO42,AP42,AQ42,AR42,AS42,AT42,AU42,AV42,AW42)</f>
        <v>9.85 + 9.85 = 19.7 cu ft</v>
      </c>
      <c r="U42" s="6">
        <f>AC40</f>
        <v>9.85</v>
      </c>
      <c r="V42" s="6" t="s">
        <v>39</v>
      </c>
      <c r="Y42" s="6">
        <f>AC41</f>
        <v>9.85</v>
      </c>
      <c r="AB42" s="6" t="s">
        <v>44</v>
      </c>
      <c r="AC42" s="6">
        <f>SUM(AC40:AC41)</f>
        <v>19.7</v>
      </c>
      <c r="AD42" s="6" t="s">
        <v>36</v>
      </c>
    </row>
    <row r="43" spans="1:42" x14ac:dyDescent="0.2">
      <c r="A43" s="43"/>
    </row>
    <row r="44" spans="1:42" x14ac:dyDescent="0.2">
      <c r="A44" s="20" t="s">
        <v>212</v>
      </c>
      <c r="N44" s="49"/>
      <c r="AP44" s="41"/>
    </row>
    <row r="45" spans="1:42" x14ac:dyDescent="0.2">
      <c r="E45" s="13" t="s">
        <v>190</v>
      </c>
      <c r="F45" s="6" t="str">
        <f>CONCATENATE(T45,U45,V45,W45,X45,Y45,Z45,AA45,AB45,AC45,AD45,AE45,AF45,AG45,AH45,AI45,AJ45,AK45,AL45,AM45,AN45,AO45,AP45,AQ45,AR45,AS45,AT45,AU45,AV45,AW45)</f>
        <v>V fbw + V fww - V deduct = (204.66 + 19.7 - 4.61 cu ft) x (1 / 27) = 8.1 cu yd</v>
      </c>
      <c r="U45" s="6" t="s">
        <v>214</v>
      </c>
      <c r="V45" s="17" t="s">
        <v>38</v>
      </c>
      <c r="W45" s="17">
        <f>AB30</f>
        <v>204.66</v>
      </c>
      <c r="X45" s="6" t="s">
        <v>39</v>
      </c>
      <c r="Y45" s="17">
        <f>AC42</f>
        <v>19.7</v>
      </c>
      <c r="Z45" s="6" t="s">
        <v>40</v>
      </c>
      <c r="AA45" s="17">
        <f>AC36</f>
        <v>4.6100000000000003</v>
      </c>
      <c r="AB45" s="6" t="s">
        <v>107</v>
      </c>
      <c r="AC45" s="15">
        <v>1</v>
      </c>
      <c r="AD45" s="6" t="s">
        <v>15</v>
      </c>
      <c r="AE45" s="15">
        <v>27</v>
      </c>
      <c r="AF45" s="6" t="s">
        <v>34</v>
      </c>
      <c r="AG45" s="34">
        <f>ROUND((W45+Y45-AA45)*(1/AE45),1)</f>
        <v>8.1</v>
      </c>
      <c r="AH45" s="6" t="s">
        <v>27</v>
      </c>
    </row>
    <row r="47" spans="1:42" x14ac:dyDescent="0.2">
      <c r="A47" s="20" t="s">
        <v>87</v>
      </c>
      <c r="E47" s="13"/>
      <c r="P47" s="11"/>
      <c r="Q47" s="26"/>
      <c r="R47" s="11"/>
      <c r="T47" s="29"/>
      <c r="V47" s="17"/>
      <c r="W47" s="17"/>
      <c r="Y47" s="17"/>
      <c r="AA47" s="17"/>
      <c r="AC47" s="17"/>
    </row>
    <row r="48" spans="1:42" x14ac:dyDescent="0.2">
      <c r="B48" s="13" t="s">
        <v>52</v>
      </c>
      <c r="C48" s="6" t="str">
        <f>CONCATENATE(T48,U48,V48,W48,X48,Y48,Z48,AA48,AB48,AC48,AD48,AE48,AF48,AG48,AH48,AI48,AJ48,AK48,AL48,AM48,AN48,AO48,AP48,AQ48,AR48,AS48,AT48,AU48,AV48,AW48)</f>
        <v>Vra + Vfa = 8 cu yd + 8.1 cu yd = 16.1 cu yd</v>
      </c>
      <c r="E48" s="13"/>
      <c r="O48" s="14"/>
      <c r="P48" s="10" t="s">
        <v>18</v>
      </c>
      <c r="Q48" s="39">
        <f>ROUND(AB48,0)</f>
        <v>16</v>
      </c>
      <c r="R48" s="10" t="s">
        <v>43</v>
      </c>
      <c r="S48" s="14"/>
      <c r="T48" s="31"/>
      <c r="U48" s="13" t="s">
        <v>88</v>
      </c>
      <c r="V48" s="6" t="s">
        <v>50</v>
      </c>
      <c r="W48" s="17">
        <f>AG25</f>
        <v>8</v>
      </c>
      <c r="X48" s="6" t="s">
        <v>27</v>
      </c>
      <c r="Y48" s="17" t="s">
        <v>39</v>
      </c>
      <c r="Z48" s="6">
        <f>AG45</f>
        <v>8.1</v>
      </c>
      <c r="AA48" s="6" t="s">
        <v>89</v>
      </c>
      <c r="AB48" s="17">
        <f>W48+Z48</f>
        <v>16.100000000000001</v>
      </c>
      <c r="AC48" s="6" t="s">
        <v>27</v>
      </c>
    </row>
    <row r="50" spans="1:1" x14ac:dyDescent="0.2">
      <c r="A50" s="12" t="str">
        <f ca="1">CELL("filename")</f>
        <v>c:\users\mclark3\appdata\local\bentley\projectwise\workingdir\ohiodot-pw.bentley.com_ohiodot-pw-02\michael.clark@dot.ohio.gov\d0512215\[111085_Structure Calculations.xlsx]Sheet5</v>
      </c>
    </row>
  </sheetData>
  <mergeCells count="6">
    <mergeCell ref="B3:C3"/>
    <mergeCell ref="N1:O1"/>
    <mergeCell ref="R1:S1"/>
    <mergeCell ref="B2:D2"/>
    <mergeCell ref="N2:O2"/>
    <mergeCell ref="R2:S2"/>
  </mergeCells>
  <pageMargins left="0.7" right="0.5" top="0.5" bottom="0.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R67"/>
  <sheetViews>
    <sheetView tabSelected="1" topLeftCell="A12" zoomScaleNormal="100" zoomScaleSheetLayoutView="100" workbookViewId="0">
      <selection activeCell="AD10" sqref="AD10"/>
    </sheetView>
  </sheetViews>
  <sheetFormatPr defaultRowHeight="12.75" x14ac:dyDescent="0.2"/>
  <cols>
    <col min="1" max="1" width="6.7109375" style="6" customWidth="1"/>
    <col min="2" max="49" width="4.7109375" style="6" customWidth="1"/>
    <col min="50" max="16384" width="9.140625" style="6"/>
  </cols>
  <sheetData>
    <row r="1" spans="1:44" customFormat="1" ht="15" x14ac:dyDescent="0.25">
      <c r="A1" s="1" t="s">
        <v>0</v>
      </c>
      <c r="B1" s="1"/>
      <c r="C1" s="1"/>
      <c r="K1" s="2"/>
      <c r="L1" s="2"/>
      <c r="M1" s="3" t="s">
        <v>1</v>
      </c>
      <c r="N1" s="82" t="s">
        <v>262</v>
      </c>
      <c r="O1" s="82"/>
      <c r="P1" s="2"/>
      <c r="Q1" s="3" t="s">
        <v>2</v>
      </c>
      <c r="R1" s="83">
        <v>45699</v>
      </c>
      <c r="S1" s="82"/>
    </row>
    <row r="2" spans="1:44" customFormat="1" ht="15" x14ac:dyDescent="0.25">
      <c r="A2" s="4" t="s">
        <v>3</v>
      </c>
      <c r="B2" s="75" t="s">
        <v>263</v>
      </c>
      <c r="C2" s="75"/>
      <c r="D2" s="75"/>
      <c r="K2" s="2"/>
      <c r="L2" s="2"/>
      <c r="M2" s="3" t="s">
        <v>4</v>
      </c>
      <c r="N2" s="84" t="s">
        <v>292</v>
      </c>
      <c r="O2" s="84"/>
      <c r="P2" s="2"/>
      <c r="Q2" s="3" t="s">
        <v>2</v>
      </c>
      <c r="R2" s="85">
        <v>45754</v>
      </c>
      <c r="S2" s="84"/>
    </row>
    <row r="3" spans="1:44" customFormat="1" ht="15" x14ac:dyDescent="0.25">
      <c r="A3" s="4" t="s">
        <v>5</v>
      </c>
      <c r="B3" s="75">
        <v>111085</v>
      </c>
      <c r="C3" s="75"/>
      <c r="K3" s="2"/>
      <c r="L3" s="2"/>
      <c r="M3" s="2"/>
      <c r="N3" s="2"/>
      <c r="O3" s="2"/>
      <c r="P3" s="2" t="s">
        <v>6</v>
      </c>
      <c r="Q3" s="8">
        <v>4</v>
      </c>
      <c r="R3" s="2" t="s">
        <v>7</v>
      </c>
      <c r="S3" s="8">
        <v>6</v>
      </c>
    </row>
    <row r="4" spans="1:44" s="5" customFormat="1" ht="8.1" customHeight="1" thickBot="1" x14ac:dyDescent="0.25"/>
    <row r="6" spans="1:44" x14ac:dyDescent="0.2">
      <c r="A6" s="67" t="s">
        <v>53</v>
      </c>
      <c r="B6" s="13"/>
      <c r="M6" s="11" t="s">
        <v>78</v>
      </c>
    </row>
    <row r="7" spans="1:44" x14ac:dyDescent="0.2">
      <c r="A7" s="11" t="s">
        <v>124</v>
      </c>
      <c r="B7" s="13"/>
      <c r="M7" s="11"/>
    </row>
    <row r="8" spans="1:44" ht="15" x14ac:dyDescent="0.25">
      <c r="A8" s="35" t="s">
        <v>29</v>
      </c>
      <c r="B8" s="13"/>
      <c r="O8" s="11"/>
      <c r="P8" s="101"/>
      <c r="Q8" s="102"/>
      <c r="R8" s="11"/>
      <c r="AC8" s="36"/>
    </row>
    <row r="9" spans="1:44" x14ac:dyDescent="0.2">
      <c r="A9" s="19"/>
      <c r="B9" s="13" t="s">
        <v>94</v>
      </c>
      <c r="C9" s="6" t="str">
        <f>CONCATENATE(T9,U9,V9,W9,X9,Y9,Z9,AA9,AB9,AC9,AD9,AE9,AF9,AG9,AH9,AI9,AJ9,AK9,AL9,AM9,AN9,AO9,AP9,AQ9,AR9,AS9,AT9,AU9,AV9,AW9)</f>
        <v>Arfront + Artop + Arside + Arback</v>
      </c>
      <c r="U9" s="6" t="s">
        <v>93</v>
      </c>
    </row>
    <row r="10" spans="1:44" s="18" customFormat="1" x14ac:dyDescent="0.2">
      <c r="A10" s="43"/>
      <c r="B10" s="71" t="s">
        <v>94</v>
      </c>
      <c r="C10" s="18" t="str">
        <f>CONCATENATE(T10,U10,V10,W10,X10,Y10,Z10,AA10,AB10,AC10,AD10,AE10,AF10,AG10,AH10,AI10,AJ10,AK10,AL10,AM10,AN10,AO10,AP10,AQ10,AR10,AS10,AT10,AU10,AV10,AW10)</f>
        <v>93.9 sq ft + 11.78 sq ft + 5.62 sq ft + 1.18 sq ft = 112.48 sq ft</v>
      </c>
      <c r="U10" s="27">
        <v>93.9</v>
      </c>
      <c r="V10" s="18" t="s">
        <v>74</v>
      </c>
      <c r="W10" s="27">
        <f>5.89+5.89</f>
        <v>11.78</v>
      </c>
      <c r="X10" s="18" t="s">
        <v>74</v>
      </c>
      <c r="Y10" s="27">
        <f>2.81+2.81</f>
        <v>5.62</v>
      </c>
      <c r="Z10" s="18" t="s">
        <v>74</v>
      </c>
      <c r="AA10" s="27">
        <f>0.53+0.65</f>
        <v>1.1800000000000002</v>
      </c>
      <c r="AB10" s="18" t="s">
        <v>77</v>
      </c>
      <c r="AC10" s="73">
        <f>ROUND(U10+W10+Y10+AA10,2)</f>
        <v>112.48</v>
      </c>
      <c r="AD10" s="18" t="s">
        <v>47</v>
      </c>
    </row>
    <row r="11" spans="1:44" x14ac:dyDescent="0.2">
      <c r="A11" s="19" t="s">
        <v>41</v>
      </c>
      <c r="B11" s="13"/>
      <c r="E11" s="50"/>
      <c r="AR11" s="74" t="s">
        <v>279</v>
      </c>
    </row>
    <row r="12" spans="1:44" x14ac:dyDescent="0.2">
      <c r="A12" s="19"/>
      <c r="B12" s="13" t="s">
        <v>95</v>
      </c>
      <c r="C12" s="6" t="str">
        <f>CONCATENATE(T12,U12,V12,W12,X12,Y12,Z12,AA12,AB12,AC12,AD12,AE12,AF12,AG12,AH12,AI12,AJ12,AK12,AL12,AM12,AN12,AO12,AP12,AQ12,AR12,AS12,AT12,AU12,AV12,AW12)</f>
        <v>Arfront + Artop + Arside + Arback</v>
      </c>
      <c r="U12" s="6" t="s">
        <v>93</v>
      </c>
    </row>
    <row r="13" spans="1:44" x14ac:dyDescent="0.2">
      <c r="A13" s="7"/>
      <c r="B13" s="13" t="s">
        <v>95</v>
      </c>
      <c r="C13" s="6" t="str">
        <f>CONCATENATE(T13,U13,V13,W13,X13,Y13,Z13,AA13,AB13,AC13,AD13,AE13,AF13,AG13,AH13,AI13,AJ13,AK13,AL13,AM13,AN13,AO13,AP13,AQ13,AR13,AS13,AT13,AU13,AV13,AW13)</f>
        <v>93.9 sq ft + 11.78 sq ft + 5.62 sq ft + 1.18 sq ft = 112.48 sq ft</v>
      </c>
      <c r="U13" s="15">
        <v>93.9</v>
      </c>
      <c r="V13" s="6" t="s">
        <v>74</v>
      </c>
      <c r="W13" s="15">
        <f>5.89+5.89</f>
        <v>11.78</v>
      </c>
      <c r="X13" s="6" t="s">
        <v>74</v>
      </c>
      <c r="Y13" s="27">
        <f>2.81+2.81</f>
        <v>5.62</v>
      </c>
      <c r="Z13" s="6" t="s">
        <v>74</v>
      </c>
      <c r="AA13" s="27">
        <f>0.53+0.65</f>
        <v>1.1800000000000002</v>
      </c>
      <c r="AB13" s="6" t="s">
        <v>77</v>
      </c>
      <c r="AC13" s="21">
        <f>ROUND(U13+W13+Y13+AA13,2)</f>
        <v>112.48</v>
      </c>
      <c r="AD13" s="6" t="s">
        <v>47</v>
      </c>
    </row>
    <row r="14" spans="1:44" x14ac:dyDescent="0.2">
      <c r="A14" s="7" t="s">
        <v>75</v>
      </c>
    </row>
    <row r="15" spans="1:44" x14ac:dyDescent="0.2">
      <c r="A15" s="11"/>
      <c r="B15" s="13" t="s">
        <v>76</v>
      </c>
      <c r="C15" s="6" t="str">
        <f>CONCATENATE(T15,U15,V15,W15,X15,Y15,Z15,AA15,AB15,AC15,AD15,AE15,AF15,AG15,AH15,AI15,AJ15,AK15,AL15,AM15,AN15,AO15,AP15,AQ15,AR15,AS15,AT15,AU15,AV15,AW15)</f>
        <v>Arascs + Afascs</v>
      </c>
      <c r="U15" s="6" t="s">
        <v>96</v>
      </c>
    </row>
    <row r="16" spans="1:44" x14ac:dyDescent="0.2">
      <c r="B16" s="13" t="s">
        <v>76</v>
      </c>
      <c r="C16" s="6" t="str">
        <f>CONCATENATE(T16,U16,V16,W16,X16,Y16,Z16,AA16,AB16,AC16,AD16,AE16,AF16,AG16,AH16,AI16,AJ16,AK16,AL16,AM16,AN16,AO16,AP16,AQ16,AR16,AS16,AT16,AU16,AV16,AW16)</f>
        <v>112.48 sq ft + 112.48 sq ft = 224.96 sq ft / 9 = 25 sq yd</v>
      </c>
      <c r="U16" s="6">
        <f>AC10</f>
        <v>112.48</v>
      </c>
      <c r="V16" s="6" t="s">
        <v>74</v>
      </c>
      <c r="W16" s="6">
        <f>AC13</f>
        <v>112.48</v>
      </c>
      <c r="X16" s="6" t="s">
        <v>47</v>
      </c>
      <c r="Y16" s="6" t="s">
        <v>44</v>
      </c>
      <c r="Z16" s="21">
        <f>ROUND(U16+W16,2)</f>
        <v>224.96</v>
      </c>
      <c r="AA16" s="6" t="s">
        <v>294</v>
      </c>
      <c r="AB16" s="6">
        <v>9</v>
      </c>
      <c r="AC16" s="6" t="s">
        <v>44</v>
      </c>
      <c r="AD16" s="34">
        <f>ROUND(Z16/AB16,2)</f>
        <v>25</v>
      </c>
      <c r="AE16" s="6" t="s">
        <v>58</v>
      </c>
    </row>
    <row r="18" spans="1:41" x14ac:dyDescent="0.2">
      <c r="A18" s="20" t="s">
        <v>79</v>
      </c>
    </row>
    <row r="19" spans="1:41" x14ac:dyDescent="0.2">
      <c r="A19" s="19" t="s">
        <v>118</v>
      </c>
    </row>
    <row r="20" spans="1:41" x14ac:dyDescent="0.2">
      <c r="B20" s="13" t="s">
        <v>117</v>
      </c>
      <c r="C20" s="6" t="str">
        <f>CONCATENATE(T20,U20,V20,W20,X20,Y20,Z20,AA20,AB20,AC20,AD20,AE20,AF20,AG20,AH20,AI20,AJ20,AK20,AL20,AM20,AN20,AO20,AP20,AQ20,AR20,AS20,AT20,AU20,AV20,AW20)</f>
        <v>Perimeter x Length (Along Skew)</v>
      </c>
      <c r="U20" s="6" t="s">
        <v>238</v>
      </c>
    </row>
    <row r="21" spans="1:41" x14ac:dyDescent="0.2">
      <c r="B21" s="13" t="s">
        <v>117</v>
      </c>
      <c r="C21" s="6" t="str">
        <f>CONCATENATE(T21,U21,V21,W21,X21,Y21,Z21,AA21,AB21,AC21,AD21,AE21,AF21,AG21,AH21,AI21,AJ21,AK21,AL21,AM21,AN21,AO21,AP21,AQ21,AR21,AS21,AT21,AU21,AV21,AW21)</f>
        <v>(1.67 ft + 4 ft) x 93.54 ft = 530.37 sq ft</v>
      </c>
      <c r="U21" s="6" t="s">
        <v>38</v>
      </c>
      <c r="V21" s="15">
        <v>1.67</v>
      </c>
      <c r="W21" s="6" t="s">
        <v>56</v>
      </c>
      <c r="X21" s="15">
        <v>4</v>
      </c>
      <c r="Y21" s="6" t="s">
        <v>81</v>
      </c>
      <c r="AB21" s="27">
        <v>93.54</v>
      </c>
      <c r="AC21" s="6" t="s">
        <v>10</v>
      </c>
      <c r="AD21" s="34">
        <f>ROUND((V21+X21)*AB21,2)</f>
        <v>530.37</v>
      </c>
      <c r="AE21" s="6" t="s">
        <v>47</v>
      </c>
    </row>
    <row r="22" spans="1:41" x14ac:dyDescent="0.2">
      <c r="A22" s="35" t="s">
        <v>119</v>
      </c>
    </row>
    <row r="23" spans="1:41" x14ac:dyDescent="0.2">
      <c r="B23" s="13" t="s">
        <v>120</v>
      </c>
      <c r="C23" s="6" t="str">
        <f>CONCATENATE(T23,U23,V23,W23,X23,Y23,Z23,AA23,AB23,AC23,AD23,AE23,AF23,AG23,AH23,AI23,AJ23,AK23,AL23,AM23,AN23,AO23,AP23,AQ23,AR23,AS23,AT23,AU23,AV23,AW23)</f>
        <v>Perimeter x Length</v>
      </c>
      <c r="U23" s="6" t="s">
        <v>121</v>
      </c>
    </row>
    <row r="24" spans="1:41" x14ac:dyDescent="0.2">
      <c r="B24" s="13" t="s">
        <v>120</v>
      </c>
      <c r="C24" s="6" t="str">
        <f>CONCATENATE(T24,U24,V24,W24,X24,Y24,Z24,AA24,AB24,AC24,AD24,AE24,AF24,AG24,AH24,AI24,AJ24,AK24,AL24,AM24,AN24,AO24,AP24,AQ24,AR24,AS24,AT24,AU24,AV24,AW24)</f>
        <v>(1.67 ft + 4 ft) x 93.54 ft = 530.37 sq ft</v>
      </c>
      <c r="U24" s="6" t="s">
        <v>38</v>
      </c>
      <c r="V24" s="15">
        <v>1.67</v>
      </c>
      <c r="W24" s="6" t="s">
        <v>56</v>
      </c>
      <c r="X24" s="15">
        <v>4</v>
      </c>
      <c r="Y24" s="6" t="s">
        <v>81</v>
      </c>
      <c r="AB24" s="27">
        <v>93.54</v>
      </c>
      <c r="AC24" s="6" t="s">
        <v>10</v>
      </c>
      <c r="AD24" s="34">
        <f>ROUND((V24+X24)*AB24,2)</f>
        <v>530.37</v>
      </c>
      <c r="AE24" s="6" t="s">
        <v>47</v>
      </c>
    </row>
    <row r="25" spans="1:41" x14ac:dyDescent="0.2">
      <c r="A25" s="43" t="s">
        <v>122</v>
      </c>
    </row>
    <row r="26" spans="1:41" x14ac:dyDescent="0.2">
      <c r="B26" s="13" t="s">
        <v>80</v>
      </c>
      <c r="C26" s="6" t="str">
        <f>CONCATENATE(T26,U26,V26,W26,X26,Y26,Z26,AA26,AB26,AC26,AD26,AE26,AF26,AG26,AH26,AI26,AJ26,AK26,AL26,AM26,AN26,AO26,AP26,AQ26,AR26,AS26,AT26,AU26,AV26,AW26)</f>
        <v>Aldscs + Ardscs</v>
      </c>
      <c r="U26" s="6" t="s">
        <v>123</v>
      </c>
    </row>
    <row r="27" spans="1:41" x14ac:dyDescent="0.2">
      <c r="B27" s="13" t="s">
        <v>80</v>
      </c>
      <c r="C27" s="6" t="str">
        <f>CONCATENATE(T27,U27,V27,W27,X27,Y27,Z27,AA27,AB27,AC27,AD27,AE27,AF27,AG27,AH27,AI27,AJ27,AK27,AL27,AM27,AN27,AO27,AP27,AQ27,AR27,AS27,AT27,AU27,AV27,AW27)</f>
        <v>530.37 sq ft + 530.37 sq ft = 1060.74 sq ft / 9 = 117.86 sq yd</v>
      </c>
      <c r="U27" s="6">
        <f>AD21</f>
        <v>530.37</v>
      </c>
      <c r="V27" s="6" t="s">
        <v>74</v>
      </c>
      <c r="W27" s="6">
        <f>AD24</f>
        <v>530.37</v>
      </c>
      <c r="X27" s="6" t="s">
        <v>47</v>
      </c>
      <c r="Y27" s="6" t="s">
        <v>44</v>
      </c>
      <c r="Z27" s="21">
        <f>ROUND(U27+W27,2)</f>
        <v>1060.74</v>
      </c>
      <c r="AA27" s="6" t="s">
        <v>294</v>
      </c>
      <c r="AB27" s="6">
        <v>9</v>
      </c>
      <c r="AC27" s="6" t="s">
        <v>44</v>
      </c>
      <c r="AD27" s="34">
        <f>ROUND(Z27/AB27,2)</f>
        <v>117.86</v>
      </c>
      <c r="AE27" s="6" t="s">
        <v>58</v>
      </c>
    </row>
    <row r="29" spans="1:41" x14ac:dyDescent="0.2">
      <c r="A29" s="20" t="s">
        <v>128</v>
      </c>
      <c r="B29" s="13"/>
    </row>
    <row r="30" spans="1:41" x14ac:dyDescent="0.2">
      <c r="A30" s="35" t="s">
        <v>149</v>
      </c>
    </row>
    <row r="31" spans="1:41" x14ac:dyDescent="0.2">
      <c r="B31" s="13" t="s">
        <v>229</v>
      </c>
      <c r="C31" s="6" t="str">
        <f>CONCATENATE(T31,U31,V31,W31,X31,Y31,Z31,AA31,AB31,AC31,AD31,AE31,AF31,AG31,AH31,AI31,AJ31,AK31,AL31,AM31,AN31,AO31,AP31,AQ31,AR31,AS31,AT31,AU31,AV31,AW31)</f>
        <v>(Arfront + Arback + ArsideL + ArsideR + Arbot - (No. col x Arcol) + (No. col x Arcolcap)</v>
      </c>
      <c r="U31" s="6" t="s">
        <v>239</v>
      </c>
    </row>
    <row r="32" spans="1:41" x14ac:dyDescent="0.2">
      <c r="B32" s="13" t="s">
        <v>229</v>
      </c>
      <c r="C32" s="6" t="str">
        <f>CONCATENATE(T32,U32,V32,W32,X32,Y32,Z32,AA32,AB32,AC32,AD32,AE32,AF32,AG32,AH32,AI32,AJ32,AK32,AL32,AM32,AN32,AO32,AP32,AQ32,AR32,AS32,AT32,AU32,AV32,AW32)</f>
        <v xml:space="preserve"> (66.43 sq ft + 66.43 sq ft + 7.85 sq ft + 7.85 sq ft + 76.42 sq ft - (7 x 0.79 sq ft ) + ( 7 x 5.5 sq ft ) =</v>
      </c>
      <c r="V32" s="6" t="s">
        <v>116</v>
      </c>
      <c r="W32" s="15">
        <v>66.430000000000007</v>
      </c>
      <c r="X32" s="6" t="s">
        <v>74</v>
      </c>
      <c r="Y32" s="15">
        <v>66.430000000000007</v>
      </c>
      <c r="Z32" s="6" t="s">
        <v>74</v>
      </c>
      <c r="AA32" s="15">
        <v>7.85</v>
      </c>
      <c r="AB32" s="6" t="s">
        <v>74</v>
      </c>
      <c r="AC32" s="15">
        <v>7.85</v>
      </c>
      <c r="AD32" s="6" t="s">
        <v>74</v>
      </c>
      <c r="AE32" s="15">
        <v>76.42</v>
      </c>
      <c r="AF32" s="6" t="s">
        <v>226</v>
      </c>
      <c r="AG32" s="15">
        <v>7</v>
      </c>
      <c r="AH32" s="6" t="s">
        <v>46</v>
      </c>
      <c r="AI32" s="15">
        <f>ROUND(PI()*0.5^2,2)</f>
        <v>0.79</v>
      </c>
      <c r="AJ32" s="6" t="s">
        <v>240</v>
      </c>
      <c r="AL32" s="15">
        <v>7</v>
      </c>
      <c r="AM32" s="6" t="s">
        <v>46</v>
      </c>
      <c r="AN32" s="15">
        <v>5.5</v>
      </c>
      <c r="AO32" s="6" t="s">
        <v>241</v>
      </c>
    </row>
    <row r="33" spans="1:44" x14ac:dyDescent="0.2">
      <c r="B33" s="13"/>
      <c r="C33" s="6" t="str">
        <f>CONCATENATE(T33,U33,V33,W33,X33,Y33,Z33,AA33,AB33,AC33,AD33,AE33,AF33,AG33,AH33,AI33,AJ33,AK33,AL33,AM33,AN33,AO33,AP33,AQ33,AR33,AS33,AT33,AU33,AV33,AW33)</f>
        <v>257.95 sq ft</v>
      </c>
      <c r="V33" s="34">
        <f>ROUND((W32+Y32+AA32+AC32+AE32-(AG32*AI32)+(AL32*AN32)),2)</f>
        <v>257.95</v>
      </c>
      <c r="W33" s="6" t="s">
        <v>47</v>
      </c>
    </row>
    <row r="34" spans="1:44" x14ac:dyDescent="0.2">
      <c r="A34" s="35" t="s">
        <v>151</v>
      </c>
      <c r="AR34" s="74" t="s">
        <v>280</v>
      </c>
    </row>
    <row r="35" spans="1:44" x14ac:dyDescent="0.2">
      <c r="B35" s="13" t="s">
        <v>228</v>
      </c>
      <c r="C35" s="6" t="str">
        <f>CONCATENATE(T35,U35,V35,W35,X35,Y35,Z35,AA35,AB35,AC35,AD35,AE35,AF35,AG35,AH35,AI35,AJ35,AK35,AL35,AM35,AN35,AO35,AP35,AQ35,AR35,AS35,AT35,AU35,AV35,AW35)</f>
        <v>(Afrfront + Afback + AfsideL + AfsideR + Afbot - (No. col x Afcol)</v>
      </c>
      <c r="U35" s="6" t="s">
        <v>227</v>
      </c>
    </row>
    <row r="36" spans="1:44" x14ac:dyDescent="0.2">
      <c r="B36" s="13" t="s">
        <v>228</v>
      </c>
      <c r="C36" s="6" t="str">
        <f>CONCATENATE(T36,U36,V36,W36,X36,Y36,Z36,AA36,AB36,AC36,AD36,AE36,AF36,AG36,AH36,AI36,AJ36,AK36,AL36,AM36,AN36,AO36,AP36,AQ36,AR36,AS36,AT36,AU36,AV36,AW36)</f>
        <v xml:space="preserve"> (67.1 sq ft + 67.1 sq ft + 7.85 sq ft + 7.85 sq ft + 76.42 sq ft - (7 x 0.79 sq ft ) + ( 7 x 5.5 sq ft ) =</v>
      </c>
      <c r="V36" s="6" t="s">
        <v>116</v>
      </c>
      <c r="W36" s="15">
        <v>67.099999999999994</v>
      </c>
      <c r="X36" s="6" t="s">
        <v>74</v>
      </c>
      <c r="Y36" s="15">
        <v>67.099999999999994</v>
      </c>
      <c r="Z36" s="6" t="s">
        <v>74</v>
      </c>
      <c r="AA36" s="15">
        <v>7.85</v>
      </c>
      <c r="AB36" s="6" t="s">
        <v>74</v>
      </c>
      <c r="AC36" s="15">
        <v>7.85</v>
      </c>
      <c r="AD36" s="6" t="s">
        <v>74</v>
      </c>
      <c r="AE36" s="15">
        <v>76.42</v>
      </c>
      <c r="AF36" s="6" t="s">
        <v>226</v>
      </c>
      <c r="AG36" s="15">
        <v>7</v>
      </c>
      <c r="AH36" s="6" t="s">
        <v>46</v>
      </c>
      <c r="AI36" s="15">
        <f>ROUND(PI()*0.5^2,2)</f>
        <v>0.79</v>
      </c>
      <c r="AJ36" s="6" t="s">
        <v>240</v>
      </c>
      <c r="AL36" s="15">
        <v>7</v>
      </c>
      <c r="AM36" s="6" t="s">
        <v>46</v>
      </c>
      <c r="AN36" s="15">
        <v>5.5</v>
      </c>
      <c r="AO36" s="6" t="s">
        <v>241</v>
      </c>
    </row>
    <row r="37" spans="1:44" x14ac:dyDescent="0.2">
      <c r="B37" s="13"/>
      <c r="C37" s="6" t="str">
        <f>CONCATENATE(T37,U37,V37,W37,X37,Y37,Z37,AA37,AB37,AC37,AD37,AE37,AF37,AG37,AH37,AI37,AJ37,AK37,AL37,AM37,AN37,AO37,AP37,AQ37,AR37,AS37,AT37,AU37,AV37,AW37)</f>
        <v>259.29 sq ft</v>
      </c>
      <c r="V37" s="34">
        <f>ROUND((W36+Y36+AA36+AC36+AE36-(AG36*AI36)+(AL36*AN36)),2)</f>
        <v>259.29000000000002</v>
      </c>
      <c r="W37" s="6" t="s">
        <v>47</v>
      </c>
    </row>
    <row r="38" spans="1:44" x14ac:dyDescent="0.2">
      <c r="A38" s="7" t="s">
        <v>97</v>
      </c>
    </row>
    <row r="39" spans="1:44" x14ac:dyDescent="0.2">
      <c r="A39" s="11"/>
      <c r="B39" s="13" t="s">
        <v>98</v>
      </c>
      <c r="C39" s="6" t="str">
        <f>CONCATENATE(T39,U39,V39,W39,X39,Y39,Z39,AA39,AB39,AC39,AD39,AE39,AF39,AG39,AH39,AI39,AJ39,AK39,AL39,AM39,AN39,AO39,AP39,AQ39,AR39,AS39,AT39,AU39,AV39,AW39)</f>
        <v>Ap1scs + Ap2scs</v>
      </c>
      <c r="U39" s="6" t="s">
        <v>146</v>
      </c>
    </row>
    <row r="40" spans="1:44" x14ac:dyDescent="0.2">
      <c r="B40" s="13" t="s">
        <v>98</v>
      </c>
      <c r="C40" s="6" t="str">
        <f>CONCATENATE(T40,U40,V40,W40,X40,Y40,Z40,AA40,AB40,AC40,AD40,AE40,AF40,AG40,AH40,AI40,AJ40,AK40,AL40,AM40,AN40,AO40,AP40,AQ40,AR40,AS40,AT40,AU40,AV40,AW40)</f>
        <v>257.95 sq ft + 259.29 sq ft = 517.24 sq ft / 9 = 57.47 sq yd</v>
      </c>
      <c r="U40" s="6">
        <f>V33</f>
        <v>257.95</v>
      </c>
      <c r="V40" s="6" t="s">
        <v>74</v>
      </c>
      <c r="W40" s="6">
        <f>V37</f>
        <v>259.29000000000002</v>
      </c>
      <c r="X40" s="6" t="s">
        <v>47</v>
      </c>
      <c r="Y40" s="6" t="s">
        <v>44</v>
      </c>
      <c r="Z40" s="21">
        <f>ROUND(U40+W40,2)</f>
        <v>517.24</v>
      </c>
      <c r="AA40" s="6" t="s">
        <v>294</v>
      </c>
      <c r="AB40" s="6">
        <v>9</v>
      </c>
      <c r="AC40" s="6" t="s">
        <v>44</v>
      </c>
      <c r="AD40" s="34">
        <f>ROUND(Z40/AB40,2)</f>
        <v>57.47</v>
      </c>
      <c r="AE40" s="6" t="s">
        <v>58</v>
      </c>
    </row>
    <row r="41" spans="1:44" x14ac:dyDescent="0.2">
      <c r="B41" s="13"/>
    </row>
    <row r="42" spans="1:44" x14ac:dyDescent="0.2">
      <c r="A42" s="61" t="s">
        <v>51</v>
      </c>
    </row>
    <row r="43" spans="1:44" x14ac:dyDescent="0.2">
      <c r="B43" s="13" t="s">
        <v>230</v>
      </c>
      <c r="C43" s="6" t="str">
        <f>CONCATENATE(T43,U43,V43,W43,X43,Y43,Z43,AA43,AB43,AC43,AD43,AE43,AF43,AG43,AH43,AI43,AJ43,AK43,AL43,AM43,AN43,AO43,AP43,AQ43,AR43,AS43,AT43,AU43,AV43,AW43)</f>
        <v xml:space="preserve">Aascs + Adscs + Apscs </v>
      </c>
      <c r="U43" s="6" t="s">
        <v>231</v>
      </c>
      <c r="AB43" s="6" t="s">
        <v>32</v>
      </c>
    </row>
    <row r="44" spans="1:44" x14ac:dyDescent="0.2">
      <c r="B44" s="13" t="s">
        <v>230</v>
      </c>
      <c r="C44" s="6" t="str">
        <f>CONCATENATE(T44,U44,V44,W44,X44,Y44,Z44,AA44,AB44,AC44,AD44,AE44,AF44,AG44,AH44,AI44,AJ44,AK44,AL44,AM44,AN44,AO44,AP44,AQ44,AR44,AS44,AT44,AU44,AV44,AW44)</f>
        <v>25 sq yd + 117.86 sq yd + 57.47 sq ft =  200.33 sq yd</v>
      </c>
      <c r="U44" s="6">
        <f>AD16</f>
        <v>25</v>
      </c>
      <c r="V44" s="6" t="s">
        <v>295</v>
      </c>
      <c r="W44" s="6">
        <f>AD27</f>
        <v>117.86</v>
      </c>
      <c r="X44" s="6" t="s">
        <v>295</v>
      </c>
      <c r="AA44" s="6">
        <f>AD40</f>
        <v>57.47</v>
      </c>
      <c r="AB44" s="6" t="s">
        <v>296</v>
      </c>
      <c r="AE44" s="34">
        <f>ROUND(U44+W44+AA44,2)</f>
        <v>200.33</v>
      </c>
      <c r="AF44" s="6" t="s">
        <v>58</v>
      </c>
    </row>
    <row r="45" spans="1:44" x14ac:dyDescent="0.2">
      <c r="B45" s="13"/>
      <c r="O45" s="14"/>
      <c r="P45" s="10" t="s">
        <v>18</v>
      </c>
      <c r="Q45" s="9">
        <f>ROUND(AE44,0)</f>
        <v>200</v>
      </c>
      <c r="R45" s="10" t="s">
        <v>73</v>
      </c>
      <c r="S45" s="14"/>
      <c r="T45" s="31"/>
    </row>
    <row r="47" spans="1:44" x14ac:dyDescent="0.2">
      <c r="A47" s="43" t="s">
        <v>54</v>
      </c>
      <c r="U47" s="19" t="s">
        <v>218</v>
      </c>
    </row>
    <row r="48" spans="1:44" x14ac:dyDescent="0.2">
      <c r="B48" s="13" t="s">
        <v>13</v>
      </c>
      <c r="C48" s="6" t="str">
        <f>CONCATENATE(T48,U48,V48,W48,X48,Y48,Z48,AA48,AB48,AC48,AD48,AE48,AF48,AG48,AH48,AI48,AJ48,AK48,AL48,AM48,AN48,AO48,AP48,AQ48,AR48,AS48,AT48,AU48,AV48,AW48)</f>
        <v>Length x Width</v>
      </c>
      <c r="U48" s="6" t="s">
        <v>55</v>
      </c>
    </row>
    <row r="49" spans="1:42" x14ac:dyDescent="0.2">
      <c r="B49" s="13" t="s">
        <v>31</v>
      </c>
      <c r="C49" s="6" t="str">
        <f>CONCATENATE(T49,U49,V49,W49,X49,Y49,Z49,AA49,AB49,AC49,AD49,AE49,AF49,AG49,AH49,AI49,AJ49,AK49,AL49,AM49,AN49,AO49,AP49,AQ49,AR49,AS49,AT49,AU49,AV49,AW49)</f>
        <v>Lrvdgr + Lrvdgl + Lrhcj+ Lfvdgr + Lfvdgl + Lfhcj</v>
      </c>
      <c r="U49" s="6" t="s">
        <v>276</v>
      </c>
    </row>
    <row r="50" spans="1:42" x14ac:dyDescent="0.2">
      <c r="B50" s="13" t="s">
        <v>31</v>
      </c>
      <c r="C50" s="6" t="str">
        <f>CONCATENATE(T50,U50,V50,W50,X50,Y50,Z50,AA50,AB50,AC50,AD50,AE50,AF50,AG50,AH50,AI50,AJ50,AK50,AL50,AM50,AN50,AO50,AP50,AQ50,AR50,AS50,AT50,AU50,AV50,AW50)</f>
        <v>4.82 ft + 4.82 ft + 37.38 ft + 4.86 ft + 4.86 ft + 37.38 ft = 94.12 ft</v>
      </c>
      <c r="U50" s="27">
        <f>ROUND(4+(9.8125/12),2)</f>
        <v>4.82</v>
      </c>
      <c r="V50" s="6" t="s">
        <v>56</v>
      </c>
      <c r="W50" s="27">
        <f>ROUND(4+(9.8125/12),2)</f>
        <v>4.82</v>
      </c>
      <c r="X50" s="6" t="s">
        <v>56</v>
      </c>
      <c r="Y50" s="27">
        <f>ROUND(37+(4.5/12),2)</f>
        <v>37.380000000000003</v>
      </c>
      <c r="Z50" s="6" t="s">
        <v>56</v>
      </c>
      <c r="AA50" s="27">
        <f>ROUND(4+(10.375/12),2)</f>
        <v>4.8600000000000003</v>
      </c>
      <c r="AB50" s="6" t="s">
        <v>56</v>
      </c>
      <c r="AC50" s="27">
        <f>ROUND(4+(10.375/12),2)</f>
        <v>4.8600000000000003</v>
      </c>
      <c r="AD50" s="6" t="s">
        <v>56</v>
      </c>
      <c r="AE50" s="27">
        <f>ROUND(37+(4.5/12),2)</f>
        <v>37.380000000000003</v>
      </c>
      <c r="AF50" s="6" t="s">
        <v>10</v>
      </c>
      <c r="AG50" s="18"/>
      <c r="AI50" s="18"/>
      <c r="AK50" s="18"/>
      <c r="AM50" s="18"/>
      <c r="AO50" s="34">
        <f>U50+W50+Y50+AA50+AC50+AE50+AG50+AI50+AK50+AM50</f>
        <v>94.12</v>
      </c>
      <c r="AP50" s="6" t="s">
        <v>9</v>
      </c>
    </row>
    <row r="51" spans="1:42" x14ac:dyDescent="0.2">
      <c r="B51" s="13" t="s">
        <v>13</v>
      </c>
      <c r="C51" s="6" t="str">
        <f>CONCATENATE(T51,U51,V51,W51,X51,Y51,Z51,AA51,AB51,AC51,AD51,AE51,AF51,AG51,AH51,AI51,AJ51,AK51,AL51,AM51,AN51,AO51,AP51,AQ51,AR51,AS51,AT51,AU51,AV51,AW51)</f>
        <v>94.12 ft x 3 ft  x (1 / 9) = 31.37 sq yd</v>
      </c>
      <c r="O51" s="14"/>
      <c r="P51" s="10" t="s">
        <v>18</v>
      </c>
      <c r="Q51" s="9">
        <f>ROUND(AD51,0)</f>
        <v>31</v>
      </c>
      <c r="R51" s="10" t="s">
        <v>59</v>
      </c>
      <c r="S51" s="14"/>
      <c r="T51" s="31"/>
      <c r="U51" s="6">
        <f>AO50</f>
        <v>94.12</v>
      </c>
      <c r="V51" s="6" t="s">
        <v>8</v>
      </c>
      <c r="W51" s="15">
        <v>3</v>
      </c>
      <c r="X51" s="6" t="s">
        <v>57</v>
      </c>
      <c r="Y51" s="6" t="s">
        <v>48</v>
      </c>
      <c r="Z51" s="15">
        <v>1</v>
      </c>
      <c r="AA51" s="6" t="s">
        <v>15</v>
      </c>
      <c r="AB51" s="15">
        <v>9</v>
      </c>
      <c r="AC51" s="6" t="s">
        <v>34</v>
      </c>
      <c r="AD51" s="21">
        <f>ROUND((U51*W51)*(1/AB51),2)</f>
        <v>31.37</v>
      </c>
      <c r="AE51" s="6" t="s">
        <v>58</v>
      </c>
    </row>
    <row r="53" spans="1:42" x14ac:dyDescent="0.2">
      <c r="A53" s="12" t="str">
        <f ca="1">CELL("filename")</f>
        <v>c:\users\mclark3\appdata\local\bentley\projectwise\workingdir\ohiodot-pw.bentley.com_ohiodot-pw-02\michael.clark@dot.ohio.gov\d0512215\[111085_Structure Calculations.xlsx]Sheet5</v>
      </c>
    </row>
    <row r="56" spans="1:42" ht="12.75" customHeight="1" x14ac:dyDescent="0.25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42" x14ac:dyDescent="0.2">
      <c r="A57" s="7"/>
    </row>
    <row r="59" spans="1:42" x14ac:dyDescent="0.2">
      <c r="B59" s="13"/>
    </row>
    <row r="60" spans="1:42" x14ac:dyDescent="0.2">
      <c r="B60" s="13"/>
    </row>
    <row r="61" spans="1:42" x14ac:dyDescent="0.2">
      <c r="O61" s="11"/>
      <c r="P61" s="11"/>
      <c r="Q61" s="26"/>
      <c r="R61" s="52"/>
      <c r="S61" s="11"/>
    </row>
    <row r="62" spans="1:42" ht="12.75" customHeight="1" x14ac:dyDescent="0.25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1:42" x14ac:dyDescent="0.2">
      <c r="A63" s="7"/>
      <c r="W63" s="53"/>
    </row>
    <row r="65" spans="2:19" x14ac:dyDescent="0.2">
      <c r="B65" s="13"/>
      <c r="G65" s="13"/>
      <c r="H65" s="33"/>
      <c r="J65" s="13"/>
      <c r="K65" s="33"/>
    </row>
    <row r="66" spans="2:19" x14ac:dyDescent="0.2">
      <c r="B66" s="13"/>
    </row>
    <row r="67" spans="2:19" x14ac:dyDescent="0.2">
      <c r="O67" s="11"/>
      <c r="P67" s="11"/>
      <c r="Q67" s="26"/>
      <c r="R67" s="52"/>
      <c r="S67" s="11"/>
    </row>
  </sheetData>
  <mergeCells count="7">
    <mergeCell ref="P8:Q8"/>
    <mergeCell ref="B3:C3"/>
    <mergeCell ref="N1:O1"/>
    <mergeCell ref="R1:S1"/>
    <mergeCell ref="B2:D2"/>
    <mergeCell ref="N2:O2"/>
    <mergeCell ref="R2:S2"/>
  </mergeCells>
  <pageMargins left="0.7" right="0.5" top="0.5" bottom="0.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77"/>
  <sheetViews>
    <sheetView tabSelected="1" zoomScaleNormal="100" zoomScaleSheetLayoutView="100" workbookViewId="0">
      <selection activeCell="AD10" sqref="AD10"/>
    </sheetView>
  </sheetViews>
  <sheetFormatPr defaultRowHeight="12.75" x14ac:dyDescent="0.2"/>
  <cols>
    <col min="1" max="1" width="6.7109375" style="6" customWidth="1"/>
    <col min="2" max="49" width="4.7109375" style="6" customWidth="1"/>
    <col min="50" max="16384" width="9.140625" style="6"/>
  </cols>
  <sheetData>
    <row r="1" spans="1:34" customFormat="1" ht="15" x14ac:dyDescent="0.25">
      <c r="A1" s="1" t="s">
        <v>0</v>
      </c>
      <c r="B1" s="1"/>
      <c r="C1" s="1"/>
      <c r="K1" s="2"/>
      <c r="L1" s="2"/>
      <c r="M1" s="3" t="s">
        <v>1</v>
      </c>
      <c r="N1" s="82" t="s">
        <v>262</v>
      </c>
      <c r="O1" s="82"/>
      <c r="P1" s="2"/>
      <c r="Q1" s="3" t="s">
        <v>2</v>
      </c>
      <c r="R1" s="83">
        <v>45699</v>
      </c>
      <c r="S1" s="82"/>
      <c r="T1" s="29"/>
      <c r="U1" s="1"/>
    </row>
    <row r="2" spans="1:34" customFormat="1" ht="15" x14ac:dyDescent="0.25">
      <c r="A2" s="4" t="s">
        <v>3</v>
      </c>
      <c r="B2" s="75" t="s">
        <v>263</v>
      </c>
      <c r="C2" s="75"/>
      <c r="D2" s="75"/>
      <c r="K2" s="2"/>
      <c r="L2" s="2"/>
      <c r="M2" s="3" t="s">
        <v>4</v>
      </c>
      <c r="N2" s="84" t="s">
        <v>292</v>
      </c>
      <c r="O2" s="84"/>
      <c r="P2" s="2"/>
      <c r="Q2" s="3" t="s">
        <v>2</v>
      </c>
      <c r="R2" s="85">
        <v>45883</v>
      </c>
      <c r="S2" s="84"/>
      <c r="T2" s="28"/>
      <c r="U2" s="30"/>
    </row>
    <row r="3" spans="1:34" customFormat="1" ht="15" x14ac:dyDescent="0.25">
      <c r="A3" s="4" t="s">
        <v>5</v>
      </c>
      <c r="B3" s="75">
        <v>111085</v>
      </c>
      <c r="C3" s="75"/>
      <c r="K3" s="2"/>
      <c r="L3" s="2"/>
      <c r="M3" s="2"/>
      <c r="N3" s="2"/>
      <c r="O3" s="2"/>
      <c r="P3" s="2" t="s">
        <v>6</v>
      </c>
      <c r="Q3" s="8">
        <v>5</v>
      </c>
      <c r="R3" s="2" t="s">
        <v>7</v>
      </c>
      <c r="S3" s="8">
        <v>6</v>
      </c>
    </row>
    <row r="4" spans="1:34" s="5" customFormat="1" ht="8.1" customHeight="1" thickBot="1" x14ac:dyDescent="0.25"/>
    <row r="5" spans="1:34" s="33" customFormat="1" ht="12.75" customHeight="1" x14ac:dyDescent="0.25">
      <c r="A5" s="77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</row>
    <row r="6" spans="1:34" s="33" customFormat="1" ht="12.75" customHeight="1" x14ac:dyDescent="0.25">
      <c r="A6" s="109" t="s">
        <v>299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06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</row>
    <row r="7" spans="1:34" s="33" customFormat="1" ht="12.75" customHeight="1" x14ac:dyDescent="0.25">
      <c r="A7" s="112" t="s">
        <v>309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</row>
    <row r="8" spans="1:34" s="33" customFormat="1" ht="12.75" customHeight="1" x14ac:dyDescent="0.25">
      <c r="A8" s="77" t="s">
        <v>300</v>
      </c>
      <c r="B8" s="77"/>
      <c r="C8" s="107" t="s">
        <v>301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7" t="s">
        <v>301</v>
      </c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</row>
    <row r="9" spans="1:34" s="33" customFormat="1" ht="12.75" customHeight="1" x14ac:dyDescent="0.25">
      <c r="A9" s="106"/>
      <c r="B9" s="106"/>
      <c r="C9" s="107" t="str">
        <f>CONCATENATE(T9,U9,V9,W9,X9,Y9,Z9,AA9,AB9,AC9,AD9,AE9,AF9,AG9,AH9,AI9,AJ9,AK9,AL9,AM9,AN9,AO9,AP9,AQ9,AR9,AS9,AT9,AU9,AV9,AW9)</f>
        <v xml:space="preserve">2.5 ft x 0.92 ft x 0.04 ft x 2 = 0.18 cu ft 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10">
        <v>2.5</v>
      </c>
      <c r="V9" s="107" t="s">
        <v>8</v>
      </c>
      <c r="W9" s="110">
        <f>ROUND((11/12),2)</f>
        <v>0.92</v>
      </c>
      <c r="X9" s="107" t="s">
        <v>8</v>
      </c>
      <c r="Y9" s="110">
        <f>ROUND((0.5/12),2)</f>
        <v>0.04</v>
      </c>
      <c r="Z9" s="107" t="s">
        <v>8</v>
      </c>
      <c r="AA9" s="107">
        <v>2</v>
      </c>
      <c r="AB9" s="107" t="s">
        <v>44</v>
      </c>
      <c r="AC9" s="113">
        <f>ROUND(U9*W9*Y9*AA9,2)</f>
        <v>0.18</v>
      </c>
      <c r="AD9" s="107" t="s">
        <v>33</v>
      </c>
      <c r="AE9" s="106"/>
      <c r="AF9" s="106"/>
      <c r="AG9" s="106"/>
      <c r="AH9" s="106"/>
    </row>
    <row r="10" spans="1:34" s="33" customFormat="1" ht="12.75" customHeight="1" x14ac:dyDescent="0.25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</row>
    <row r="11" spans="1:34" s="33" customFormat="1" ht="12.75" customHeight="1" x14ac:dyDescent="0.25">
      <c r="A11" s="112" t="s">
        <v>310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</row>
    <row r="12" spans="1:34" s="33" customFormat="1" ht="12.75" customHeight="1" x14ac:dyDescent="0.25">
      <c r="A12" s="77" t="s">
        <v>300</v>
      </c>
      <c r="B12" s="77"/>
      <c r="C12" s="107" t="str">
        <f t="shared" ref="C12:C13" si="0">CONCATENATE(T12,U12,V12,W12,X12,Y12,Z12,AA12,AB12,AC12,AD12,AE12,AF12,AG12,AH12,AI12,AJ12,AK12,AL12,AM12,AN12,AO12,AP12,AQ12,AR12,AS12,AT12,AU12,AV12,AW12)</f>
        <v>Length x Width x Thickness x No. of Sides</v>
      </c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7" t="s">
        <v>301</v>
      </c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</row>
    <row r="13" spans="1:34" s="33" customFormat="1" ht="12.75" customHeight="1" x14ac:dyDescent="0.25">
      <c r="A13" s="106"/>
      <c r="B13" s="106"/>
      <c r="C13" s="107" t="str">
        <f t="shared" si="0"/>
        <v xml:space="preserve">2.5 ft x 0.71 ft x 0.03 ft x 2 = 0.11 cu ft </v>
      </c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10">
        <v>2.5</v>
      </c>
      <c r="V13" s="107" t="s">
        <v>8</v>
      </c>
      <c r="W13" s="110">
        <f>ROUND((8.5/12),2)</f>
        <v>0.71</v>
      </c>
      <c r="X13" s="107" t="s">
        <v>8</v>
      </c>
      <c r="Y13" s="110">
        <f>ROUND((0.375/12),2)</f>
        <v>0.03</v>
      </c>
      <c r="Z13" s="107" t="s">
        <v>8</v>
      </c>
      <c r="AA13" s="107">
        <v>2</v>
      </c>
      <c r="AB13" s="107" t="s">
        <v>44</v>
      </c>
      <c r="AC13" s="113">
        <f>ROUND(U13*W13*Y13*AA13,2)</f>
        <v>0.11</v>
      </c>
      <c r="AD13" s="107" t="s">
        <v>33</v>
      </c>
      <c r="AE13" s="106"/>
      <c r="AF13" s="106"/>
      <c r="AG13" s="106"/>
      <c r="AH13" s="106"/>
    </row>
    <row r="14" spans="1:34" s="33" customFormat="1" ht="12.75" customHeight="1" x14ac:dyDescent="0.25"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</row>
    <row r="15" spans="1:34" s="33" customFormat="1" ht="12.75" customHeight="1" x14ac:dyDescent="0.25">
      <c r="A15" s="112" t="s">
        <v>302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</row>
    <row r="16" spans="1:34" s="33" customFormat="1" ht="12.75" customHeight="1" x14ac:dyDescent="0.25">
      <c r="A16" s="77" t="s">
        <v>303</v>
      </c>
      <c r="B16" s="77"/>
      <c r="C16" s="107" t="str">
        <f t="shared" ref="C16:C17" si="1">CONCATENATE(T16,U16,V16,W16,X16,Y16,Z16,AA16,AB16,AC16,AD16,AE16,AF16,AG16,AH16,AI16,AJ16,AK16,AL16,AM16,AN16,AO16,AP16,AQ16,AR16,AS16,AT16,AU16,AV16,AW16)</f>
        <v>Volume of plates x Unit Weight of Steel x Total No. of Pier Piles</v>
      </c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7" t="s">
        <v>311</v>
      </c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</row>
    <row r="17" spans="1:39" s="33" customFormat="1" ht="12.75" customHeight="1" x14ac:dyDescent="0.25">
      <c r="A17" s="106"/>
      <c r="B17" s="106"/>
      <c r="C17" s="107" t="str">
        <f t="shared" si="1"/>
        <v xml:space="preserve">( 0.18 + 0.11 ) cu ft x 490 lb/cu ft x 14 Pier Piles = 1989 lb </v>
      </c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7" t="s">
        <v>152</v>
      </c>
      <c r="V17" s="104">
        <f>AC9</f>
        <v>0.18</v>
      </c>
      <c r="W17" s="107" t="s">
        <v>39</v>
      </c>
      <c r="X17" s="104">
        <f>AC13</f>
        <v>0.11</v>
      </c>
      <c r="Y17" s="107" t="s">
        <v>304</v>
      </c>
      <c r="Z17" s="110">
        <v>490</v>
      </c>
      <c r="AA17" s="107" t="s">
        <v>305</v>
      </c>
      <c r="AB17" s="107" t="s">
        <v>46</v>
      </c>
      <c r="AC17" s="110">
        <v>14</v>
      </c>
      <c r="AD17" s="107" t="s">
        <v>306</v>
      </c>
      <c r="AE17" s="106"/>
      <c r="AF17" s="106"/>
      <c r="AG17" s="113">
        <f>ROUND((V17+X17)*Z17*AC17,0)</f>
        <v>1989</v>
      </c>
      <c r="AH17" s="107" t="s">
        <v>307</v>
      </c>
    </row>
    <row r="18" spans="1:39" s="33" customFormat="1" ht="12.75" customHeight="1" x14ac:dyDescent="0.25">
      <c r="A18" s="106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5" t="s">
        <v>18</v>
      </c>
      <c r="P18" s="89">
        <f>AG17</f>
        <v>1989</v>
      </c>
      <c r="Q18" s="89"/>
      <c r="R18" s="10" t="s">
        <v>308</v>
      </c>
      <c r="S18" s="14"/>
    </row>
    <row r="19" spans="1:39" s="33" customFormat="1" ht="12.75" customHeight="1" x14ac:dyDescent="0.25"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</row>
    <row r="20" spans="1:39" s="111" customFormat="1" ht="12.75" customHeight="1" x14ac:dyDescent="0.25">
      <c r="A20" s="121" t="s">
        <v>327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20"/>
      <c r="W20" s="120"/>
      <c r="X20" s="120"/>
      <c r="Y20" s="120"/>
      <c r="Z20" s="119"/>
      <c r="AA20" s="119"/>
      <c r="AB20" s="119"/>
      <c r="AC20" s="119"/>
      <c r="AD20" s="119"/>
      <c r="AE20" s="119"/>
      <c r="AF20" s="119"/>
      <c r="AG20" s="119"/>
      <c r="AH20" s="119"/>
      <c r="AI20" s="119"/>
      <c r="AJ20" s="119"/>
      <c r="AK20" s="119"/>
      <c r="AL20" s="119"/>
      <c r="AM20" s="119"/>
    </row>
    <row r="21" spans="1:39" s="111" customFormat="1" ht="12.75" customHeight="1" x14ac:dyDescent="0.25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</row>
    <row r="22" spans="1:39" s="111" customFormat="1" ht="12.75" customHeight="1" x14ac:dyDescent="0.25">
      <c r="A22" s="127" t="s">
        <v>314</v>
      </c>
      <c r="B22" s="51"/>
      <c r="C22" s="51"/>
      <c r="D22" s="51"/>
      <c r="E22" s="127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</row>
    <row r="23" spans="1:39" s="111" customFormat="1" ht="12.75" customHeight="1" x14ac:dyDescent="0.25">
      <c r="A23" s="122"/>
      <c r="B23" s="122"/>
      <c r="D23" s="124" t="s">
        <v>315</v>
      </c>
      <c r="E23" s="127" t="str">
        <f>CONCATENATE(U23,V23,W23,X23,Y23,Z23,AA23,AB23,AC23,AD23,AE23,AF23,AG23,AH23,AI23,AJ23,AK23,AL23,AM23,AN23,AO23,AP23,AQ23,AR23,AS23,AT23,AU23,AV23,AW23,AX23,AY23)</f>
        <v xml:space="preserve">( (10 inches per horz. weld + 23 inches per vert. weld) x 2 sides x 2 plates per pile x </v>
      </c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3" t="s">
        <v>319</v>
      </c>
      <c r="V23" s="125">
        <v>10</v>
      </c>
      <c r="W23" s="123" t="s">
        <v>316</v>
      </c>
      <c r="X23" s="125">
        <v>23</v>
      </c>
      <c r="Y23" s="123" t="s">
        <v>317</v>
      </c>
      <c r="Z23" s="125">
        <v>2</v>
      </c>
      <c r="AA23" s="123" t="s">
        <v>318</v>
      </c>
      <c r="AB23" s="129">
        <v>2</v>
      </c>
      <c r="AC23" s="111" t="s">
        <v>320</v>
      </c>
      <c r="AH23" s="122"/>
    </row>
    <row r="24" spans="1:39" s="111" customFormat="1" ht="12.75" customHeight="1" x14ac:dyDescent="0.25">
      <c r="B24" s="51"/>
      <c r="C24" s="51"/>
      <c r="D24" s="51"/>
      <c r="E24" s="127" t="str">
        <f>CONCATENATE(U24,V24,W24,X24,Y24,Z24,AA24,AB24,AC24,AD24,AE24,AF24,AG24,AH24,AI24,AJ24,AK24,AL24,AM24,AN24,AO24,AP24,AQ24,AR24,AS24,AT24,AU24,AV24,AW24,AX24,AY24)</f>
        <v>14 Pier Piles x 1 ft/12in) = 154 ft</v>
      </c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U24" s="129">
        <v>14</v>
      </c>
      <c r="V24" s="111" t="s">
        <v>321</v>
      </c>
      <c r="W24" s="125">
        <v>1</v>
      </c>
      <c r="X24" s="123" t="s">
        <v>312</v>
      </c>
      <c r="Y24" s="125">
        <v>12</v>
      </c>
      <c r="Z24" s="123" t="s">
        <v>313</v>
      </c>
      <c r="AA24" s="134">
        <f>ROUND((V23+X23)*Z23*AB23*U24*W24/Y24,0)</f>
        <v>154</v>
      </c>
      <c r="AB24" s="123" t="s">
        <v>9</v>
      </c>
    </row>
    <row r="25" spans="1:39" s="111" customFormat="1" ht="12.75" customHeight="1" x14ac:dyDescent="0.25"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</row>
    <row r="26" spans="1:39" s="111" customFormat="1" ht="12.75" customHeight="1" x14ac:dyDescent="0.25">
      <c r="A26" s="127" t="s">
        <v>322</v>
      </c>
      <c r="B26" s="51"/>
      <c r="C26" s="51"/>
      <c r="D26" s="51"/>
      <c r="E26" s="127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</row>
    <row r="27" spans="1:39" s="111" customFormat="1" ht="12.75" customHeight="1" x14ac:dyDescent="0.25">
      <c r="A27" s="126"/>
      <c r="B27" s="126"/>
      <c r="D27" s="128" t="s">
        <v>324</v>
      </c>
      <c r="E27" s="127" t="str">
        <f>CONCATENATE(U27,V27,W27,X27,Y27,Z27,AA27,AB27,AC27,AD27,AE27,AF27,AG27,AH27,AI27,AJ27,AK27,AL27,AM27,AN27,AO27,AP27,AQ27,AR27,AS27,AT27,AU27,AV27,AW27,AX27,AY27)</f>
        <v xml:space="preserve">( (7.5 inches per horz. weld + 23 inches per vert. weld) x 2 sides x 2 plates per pile x </v>
      </c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7" t="s">
        <v>319</v>
      </c>
      <c r="V27" s="129">
        <v>7.5</v>
      </c>
      <c r="W27" s="127" t="s">
        <v>316</v>
      </c>
      <c r="X27" s="129">
        <v>23</v>
      </c>
      <c r="Y27" s="127" t="s">
        <v>317</v>
      </c>
      <c r="Z27" s="129">
        <v>2</v>
      </c>
      <c r="AA27" s="127" t="s">
        <v>318</v>
      </c>
      <c r="AB27" s="129">
        <v>2</v>
      </c>
      <c r="AC27" s="111" t="s">
        <v>320</v>
      </c>
      <c r="AH27" s="126"/>
    </row>
    <row r="28" spans="1:39" s="111" customFormat="1" ht="12.75" customHeight="1" x14ac:dyDescent="0.25">
      <c r="B28" s="51"/>
      <c r="C28" s="51"/>
      <c r="D28" s="51"/>
      <c r="E28" s="127" t="str">
        <f>CONCATENATE(U28,V28,W28,X28,Y28,Z28,AA28,AB28,AC28,AD28,AE28,AF28,AG28,AH28,AI28,AJ28,AK28,AL28,AM28,AN28,AO28,AP28,AQ28,AR28,AS28,AT28,AU28,AV28,AW28,AX28,AY28)</f>
        <v>14 Pier Piles x 1 ft/12in) = 142 ft</v>
      </c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U28" s="129">
        <v>14</v>
      </c>
      <c r="V28" s="111" t="s">
        <v>321</v>
      </c>
      <c r="W28" s="129">
        <v>1</v>
      </c>
      <c r="X28" s="127" t="s">
        <v>312</v>
      </c>
      <c r="Y28" s="129">
        <v>12</v>
      </c>
      <c r="Z28" s="127" t="s">
        <v>313</v>
      </c>
      <c r="AA28" s="130">
        <f>ROUND((V27+X27)*Z27*AB27*U28*W28/Y28,0)</f>
        <v>142</v>
      </c>
      <c r="AB28" s="127" t="s">
        <v>9</v>
      </c>
    </row>
    <row r="29" spans="1:39" s="111" customFormat="1" ht="12.75" customHeight="1" x14ac:dyDescent="0.25">
      <c r="B29" s="51"/>
      <c r="C29" s="51"/>
      <c r="D29" s="51"/>
      <c r="E29" s="127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U29" s="129"/>
      <c r="W29" s="129"/>
      <c r="X29" s="127"/>
      <c r="Y29" s="129"/>
      <c r="Z29" s="127"/>
      <c r="AA29" s="130"/>
      <c r="AB29" s="127"/>
    </row>
    <row r="30" spans="1:39" s="111" customFormat="1" ht="12.75" customHeight="1" x14ac:dyDescent="0.25">
      <c r="A30" s="131"/>
      <c r="B30" s="133" t="s">
        <v>82</v>
      </c>
      <c r="C30" s="135" t="s">
        <v>325</v>
      </c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</row>
    <row r="31" spans="1:39" s="111" customFormat="1" ht="12.75" customHeight="1" x14ac:dyDescent="0.25">
      <c r="A31" s="131"/>
      <c r="B31" s="133" t="s">
        <v>82</v>
      </c>
      <c r="C31" s="135" t="s">
        <v>323</v>
      </c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4"/>
      <c r="P31" s="10" t="s">
        <v>18</v>
      </c>
      <c r="Q31" s="116">
        <f>Z31</f>
        <v>296</v>
      </c>
      <c r="R31" s="10" t="s">
        <v>326</v>
      </c>
      <c r="S31" s="14"/>
      <c r="T31" s="131"/>
      <c r="U31" s="131"/>
      <c r="V31" s="134">
        <f>AA24</f>
        <v>154</v>
      </c>
      <c r="W31" s="132" t="s">
        <v>56</v>
      </c>
      <c r="X31" s="134">
        <f>AA28</f>
        <v>142</v>
      </c>
      <c r="Y31" s="132" t="s">
        <v>10</v>
      </c>
      <c r="Z31" s="134">
        <f>V31+X31</f>
        <v>296</v>
      </c>
      <c r="AA31" s="132" t="s">
        <v>9</v>
      </c>
      <c r="AB31" s="134"/>
      <c r="AC31" s="132"/>
      <c r="AD31" s="131"/>
      <c r="AE31" s="131"/>
      <c r="AF31" s="131"/>
      <c r="AG31" s="131"/>
    </row>
    <row r="32" spans="1:39" s="111" customFormat="1" ht="12.75" customHeight="1" x14ac:dyDescent="0.25">
      <c r="A32" s="131"/>
      <c r="B32" s="133"/>
      <c r="C32" s="135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18"/>
      <c r="Q32" s="118"/>
      <c r="R32" s="118"/>
      <c r="S32" s="131"/>
      <c r="T32" s="131"/>
      <c r="U32" s="131"/>
      <c r="V32" s="134"/>
      <c r="W32" s="132"/>
      <c r="X32" s="134"/>
      <c r="Y32" s="132"/>
      <c r="Z32" s="134"/>
      <c r="AA32" s="132"/>
      <c r="AB32" s="134"/>
      <c r="AC32" s="132"/>
      <c r="AD32" s="131"/>
      <c r="AE32" s="131"/>
      <c r="AF32" s="131"/>
      <c r="AG32" s="131"/>
    </row>
    <row r="33" spans="1:32" x14ac:dyDescent="0.2">
      <c r="A33" s="7" t="s">
        <v>193</v>
      </c>
      <c r="B33" s="13"/>
    </row>
    <row r="34" spans="1:32" x14ac:dyDescent="0.2">
      <c r="A34" s="11" t="s">
        <v>115</v>
      </c>
      <c r="B34" s="13"/>
    </row>
    <row r="35" spans="1:32" x14ac:dyDescent="0.2">
      <c r="A35" s="35"/>
      <c r="B35" s="13" t="s">
        <v>61</v>
      </c>
      <c r="C35" s="6" t="str">
        <f>CONCATENATE(T35,U35,V35,W35,X35,Y35,Z35,AA35,AB35,AC35,AD35,AE35,AF35,AG35,AH35,AI35,AJ35,AK35,AL35,AM35,AN35,AO35,AP35,AQ35,AR35,AS35,AT35,AU35,AV35,AW35)</f>
        <v>(Top Elev. - Bot. Elev.)  x wingwall thickness / cos (skew angle)</v>
      </c>
      <c r="U35" s="6" t="s">
        <v>194</v>
      </c>
    </row>
    <row r="36" spans="1:32" x14ac:dyDescent="0.2">
      <c r="B36" s="13" t="s">
        <v>142</v>
      </c>
      <c r="C36" s="6" t="str">
        <f>CONCATENATE(T36,U36,V36,W36,X36,Y36,Z36,AA36,AB36,AC36,AD36,AE36,AF36,AG36,AH36,AI36,AJ36,AK36,AL36,AM36,AN36,AO36,AP36,AQ36,AR36,AS36,AT36,AU36,AV36,AW36)</f>
        <v>[(937.54 - 935.86) x ] ft x 2.5 ft / cos 10⁰ = 4.26 sq ft</v>
      </c>
      <c r="P36" s="11"/>
      <c r="Q36" s="26"/>
      <c r="R36" s="11"/>
      <c r="T36" s="6" t="s">
        <v>90</v>
      </c>
      <c r="U36" s="15">
        <v>937.54</v>
      </c>
      <c r="V36" s="6" t="s">
        <v>40</v>
      </c>
      <c r="W36" s="15">
        <v>935.86</v>
      </c>
      <c r="X36" s="6" t="s">
        <v>195</v>
      </c>
      <c r="Z36" s="6" t="s">
        <v>91</v>
      </c>
      <c r="AA36" s="15">
        <f>ROUND(2+(6/12),2)</f>
        <v>2.5</v>
      </c>
      <c r="AB36" s="6" t="s">
        <v>196</v>
      </c>
      <c r="AC36" s="15">
        <v>10</v>
      </c>
      <c r="AD36" s="60" t="s">
        <v>197</v>
      </c>
      <c r="AE36" s="21">
        <f>ROUND((U36-W36)*(AA36/COS(AC36*PI()/180)),2)</f>
        <v>4.26</v>
      </c>
      <c r="AF36" s="6" t="s">
        <v>47</v>
      </c>
    </row>
    <row r="37" spans="1:32" x14ac:dyDescent="0.2">
      <c r="B37" s="13" t="s">
        <v>143</v>
      </c>
      <c r="C37" s="6" t="str">
        <f>CONCATENATE(T37,U37,V37,W37,X37,Y37,Z37,AA37,AB37,AC37,AD37,AE37,AF37,AG37,AH37,AI37,AJ37,AK37,AL37,AM37,AN37,AO37,AP37,AQ37,AR37,AS37,AT37,AU37,AV37,AW37)</f>
        <v>[(937.54 - 935.86) x ] ft x 2.5 ft / cos 10⁰ = 4.26 sq ft</v>
      </c>
      <c r="P37" s="11"/>
      <c r="Q37" s="26"/>
      <c r="R37" s="11"/>
      <c r="T37" s="6" t="s">
        <v>90</v>
      </c>
      <c r="U37" s="15">
        <v>937.54</v>
      </c>
      <c r="V37" s="6" t="s">
        <v>40</v>
      </c>
      <c r="W37" s="15">
        <v>935.86</v>
      </c>
      <c r="X37" s="6" t="s">
        <v>195</v>
      </c>
      <c r="Z37" s="6" t="s">
        <v>91</v>
      </c>
      <c r="AA37" s="15">
        <f>ROUND(2+(6/12),2)</f>
        <v>2.5</v>
      </c>
      <c r="AB37" s="6" t="s">
        <v>196</v>
      </c>
      <c r="AC37" s="15">
        <v>10</v>
      </c>
      <c r="AD37" s="60" t="s">
        <v>197</v>
      </c>
      <c r="AE37" s="21">
        <f>ROUND((U37-W37)*(AA37/COS(AC37*PI()/180)),2)</f>
        <v>4.26</v>
      </c>
      <c r="AF37" s="6" t="s">
        <v>47</v>
      </c>
    </row>
    <row r="38" spans="1:32" x14ac:dyDescent="0.2">
      <c r="B38" s="13"/>
      <c r="P38" s="11"/>
      <c r="Q38" s="26"/>
      <c r="R38" s="11"/>
      <c r="AD38" s="60"/>
    </row>
    <row r="39" spans="1:32" x14ac:dyDescent="0.2">
      <c r="B39" s="13" t="s">
        <v>61</v>
      </c>
      <c r="C39" s="6" t="str">
        <f>CONCATENATE(T39,U39,V39,W39,X39,Y39,Z39,AA39,AB39,AC39,AD39,AE39,AF39,AG39,AH39,AI39,AJ39,AK39,AL39,AM39,AN39,AO39,AP39,AQ39,AR39,AS39,AT39,AU39,AV39,AW39)</f>
        <v>4.26 + 4.26 = 8.52 sq ft</v>
      </c>
      <c r="U39" s="6">
        <f>AE36</f>
        <v>4.26</v>
      </c>
      <c r="V39" s="6" t="s">
        <v>39</v>
      </c>
      <c r="W39" s="6">
        <f>AE37</f>
        <v>4.26</v>
      </c>
      <c r="AB39" s="6" t="s">
        <v>44</v>
      </c>
      <c r="AC39" s="6">
        <f>SUM(AE36:AE38)</f>
        <v>8.52</v>
      </c>
      <c r="AD39" s="6" t="s">
        <v>47</v>
      </c>
    </row>
    <row r="40" spans="1:32" x14ac:dyDescent="0.2">
      <c r="B40" s="13"/>
      <c r="P40" s="11"/>
      <c r="Q40" s="26"/>
      <c r="R40" s="11"/>
    </row>
    <row r="41" spans="1:32" x14ac:dyDescent="0.2">
      <c r="A41" s="11" t="s">
        <v>114</v>
      </c>
      <c r="B41" s="13"/>
    </row>
    <row r="42" spans="1:32" x14ac:dyDescent="0.2">
      <c r="A42" s="35"/>
      <c r="B42" s="13" t="s">
        <v>62</v>
      </c>
      <c r="C42" s="6" t="str">
        <f>CONCATENATE(T42,U42,V42,W42,X42,Y42,Z42,AA42,AB42,AC42,AD42,AE42,AF42,AG42,AH42,AI42,AJ42,AK42,AL42,AM42,AN42,AO42,AP42,AQ42,AR42,AS42,AT42,AU42,AV42,AW42)</f>
        <v>(Top Elev. - Bot. Elev.)  x wingwall thickness / cos (skew angle)</v>
      </c>
      <c r="U42" s="6" t="s">
        <v>194</v>
      </c>
    </row>
    <row r="43" spans="1:32" x14ac:dyDescent="0.2">
      <c r="B43" s="13" t="s">
        <v>144</v>
      </c>
      <c r="C43" s="6" t="str">
        <f>CONCATENATE(T43,U43,V43,W43,X43,Y43,Z43,AA43,AB43,AC43,AD43,AE43,AF43,AG43,AH43,AI43,AJ43,AK43,AL43,AM43,AN43,AO43,AP43,AQ43,AR43,AS43,AT43,AU43,AV43,AW43)</f>
        <v>[(937.53 - 935.86) x ] ft x 2.5 ft / cos 10⁰ = 4.24 sq ft</v>
      </c>
      <c r="P43" s="11"/>
      <c r="Q43" s="26"/>
      <c r="R43" s="11"/>
      <c r="T43" s="6" t="s">
        <v>90</v>
      </c>
      <c r="U43" s="15">
        <v>937.53</v>
      </c>
      <c r="V43" s="6" t="s">
        <v>40</v>
      </c>
      <c r="W43" s="15">
        <v>935.86</v>
      </c>
      <c r="X43" s="6" t="s">
        <v>195</v>
      </c>
      <c r="Z43" s="6" t="s">
        <v>91</v>
      </c>
      <c r="AA43" s="15">
        <f>ROUND(2+(6/12),2)</f>
        <v>2.5</v>
      </c>
      <c r="AB43" s="6" t="s">
        <v>196</v>
      </c>
      <c r="AC43" s="15">
        <v>10</v>
      </c>
      <c r="AD43" s="60" t="s">
        <v>197</v>
      </c>
      <c r="AE43" s="21">
        <f>ROUND((U43-W43)*(AA43/COS(AC43*PI()/180)),2)</f>
        <v>4.24</v>
      </c>
      <c r="AF43" s="6" t="s">
        <v>47</v>
      </c>
    </row>
    <row r="44" spans="1:32" x14ac:dyDescent="0.2">
      <c r="B44" s="13" t="s">
        <v>145</v>
      </c>
      <c r="C44" s="6" t="str">
        <f>CONCATENATE(T44,U44,V44,W44,X44,Y44,Z44,AA44,AB44,AC44,AD44,AE44,AF44,AG44,AH44,AI44,AJ44,AK44,AL44,AM44,AN44,AO44,AP44,AQ44,AR44,AS44,AT44,AU44,AV44,AW44)</f>
        <v>[(937.53 - 935.86) x ] ft x 2.5 ft / cos 10⁰ = 4.24 sq ft</v>
      </c>
      <c r="P44" s="11"/>
      <c r="Q44" s="26"/>
      <c r="R44" s="11"/>
      <c r="T44" s="6" t="s">
        <v>90</v>
      </c>
      <c r="U44" s="15">
        <v>937.53</v>
      </c>
      <c r="V44" s="6" t="s">
        <v>40</v>
      </c>
      <c r="W44" s="15">
        <v>935.86</v>
      </c>
      <c r="X44" s="6" t="s">
        <v>195</v>
      </c>
      <c r="Z44" s="6" t="s">
        <v>91</v>
      </c>
      <c r="AA44" s="15">
        <f>ROUND(2+(6/12),2)</f>
        <v>2.5</v>
      </c>
      <c r="AB44" s="6" t="s">
        <v>196</v>
      </c>
      <c r="AC44" s="15">
        <v>10</v>
      </c>
      <c r="AD44" s="60" t="s">
        <v>197</v>
      </c>
      <c r="AE44" s="21">
        <f>ROUND((U44-W44)*(AA44/COS(AC44*PI()/180)),2)</f>
        <v>4.24</v>
      </c>
      <c r="AF44" s="6" t="s">
        <v>47</v>
      </c>
    </row>
    <row r="45" spans="1:32" x14ac:dyDescent="0.2">
      <c r="B45" s="13"/>
      <c r="P45" s="11"/>
      <c r="Q45" s="26"/>
      <c r="R45" s="11"/>
      <c r="AD45" s="60"/>
    </row>
    <row r="46" spans="1:32" x14ac:dyDescent="0.2">
      <c r="B46" s="13" t="s">
        <v>62</v>
      </c>
      <c r="C46" s="6" t="str">
        <f>CONCATENATE(T46,U46,V46,W46,X46,Y46,Z46,AA46,AB46,AC46,AD46,AE46,AF46,AG46,AH46,AI46,AJ46,AK46,AL46,AM46,AN46,AO46,AP46,AQ46,AR46,AS46,AT46,AU46,AV46,AW46)</f>
        <v>4.24 + 4.24 = 8.48 sq ft</v>
      </c>
      <c r="U46" s="6">
        <f>AE43</f>
        <v>4.24</v>
      </c>
      <c r="V46" s="6" t="s">
        <v>39</v>
      </c>
      <c r="W46" s="6">
        <f>AE44</f>
        <v>4.24</v>
      </c>
      <c r="AB46" s="6" t="s">
        <v>44</v>
      </c>
      <c r="AC46" s="6">
        <f>SUM(AE43:AE45)</f>
        <v>8.48</v>
      </c>
      <c r="AD46" s="6" t="s">
        <v>47</v>
      </c>
    </row>
    <row r="47" spans="1:32" x14ac:dyDescent="0.2">
      <c r="B47" s="13"/>
    </row>
    <row r="48" spans="1:32" x14ac:dyDescent="0.2">
      <c r="A48" s="11" t="s">
        <v>51</v>
      </c>
      <c r="O48" s="36"/>
      <c r="P48" s="22"/>
      <c r="Q48" s="23"/>
      <c r="R48" s="22"/>
      <c r="S48" s="36"/>
    </row>
    <row r="49" spans="1:41" x14ac:dyDescent="0.2">
      <c r="B49" s="13" t="s">
        <v>216</v>
      </c>
      <c r="C49" s="6" t="str">
        <f>CONCATENATE(T49,U49,V49,W49,X49,Y49,Z49,AA49,AB49,AC49,AD49,AE49,AF49,AG49,AH49,AI49,AJ49,AK49,AL49,AM49,AN49,AO49,AP49,AQ49,AR49,AS49,AT49,AU49,AV49,AW49)</f>
        <v>Ar + Af</v>
      </c>
      <c r="U49" s="6" t="s">
        <v>217</v>
      </c>
    </row>
    <row r="50" spans="1:41" x14ac:dyDescent="0.2">
      <c r="B50" s="13" t="s">
        <v>216</v>
      </c>
      <c r="C50" s="6" t="str">
        <f>CONCATENATE(T50,U50,V50,W50,X50,Y50,Z50,AA50,AB50,AC50,AD50,AE50,AF50,AG50,AH50,AI50,AJ50,AK50,AL50,AM50,AN50,AO50,AP50,AQ50,AR50,AS50,AT50,AU50,AV50,AW50)</f>
        <v>8.52 sq ft + 8.48 sq ft = 17 sq ft</v>
      </c>
      <c r="O50" s="14"/>
      <c r="P50" s="10" t="s">
        <v>18</v>
      </c>
      <c r="Q50" s="9">
        <f>ROUND(AA50,0)</f>
        <v>17</v>
      </c>
      <c r="R50" s="10" t="s">
        <v>60</v>
      </c>
      <c r="S50" s="14"/>
      <c r="T50" s="31"/>
      <c r="U50" s="6">
        <f>AC39</f>
        <v>8.52</v>
      </c>
      <c r="V50" s="6" t="s">
        <v>47</v>
      </c>
      <c r="W50" s="6" t="s">
        <v>39</v>
      </c>
      <c r="X50" s="6">
        <f>AC46</f>
        <v>8.48</v>
      </c>
      <c r="Y50" s="6" t="s">
        <v>47</v>
      </c>
      <c r="Z50" s="6" t="s">
        <v>44</v>
      </c>
      <c r="AA50" s="21">
        <f>U50+X50</f>
        <v>17</v>
      </c>
      <c r="AB50" s="6" t="s">
        <v>47</v>
      </c>
    </row>
    <row r="51" spans="1:41" x14ac:dyDescent="0.2">
      <c r="B51" s="13"/>
      <c r="P51" s="11"/>
      <c r="Q51" s="26"/>
      <c r="R51" s="11"/>
      <c r="T51" s="31"/>
    </row>
    <row r="52" spans="1:41" x14ac:dyDescent="0.2">
      <c r="A52" s="43" t="s">
        <v>267</v>
      </c>
      <c r="B52" s="13"/>
      <c r="P52" s="11"/>
      <c r="Q52" s="26"/>
      <c r="R52" s="11"/>
      <c r="AI52" s="33"/>
      <c r="AJ52" s="33"/>
      <c r="AK52" s="37"/>
      <c r="AL52" s="33"/>
      <c r="AM52" s="33"/>
      <c r="AN52" s="33"/>
      <c r="AO52" s="37"/>
    </row>
    <row r="53" spans="1:41" ht="15" x14ac:dyDescent="0.25">
      <c r="A53" s="20" t="s">
        <v>127</v>
      </c>
      <c r="AC53"/>
      <c r="AD53"/>
      <c r="AE53"/>
      <c r="AF53"/>
      <c r="AG53"/>
      <c r="AH53"/>
    </row>
    <row r="54" spans="1:41" ht="15" x14ac:dyDescent="0.25">
      <c r="A54" s="20"/>
      <c r="B54" s="6" t="s">
        <v>268</v>
      </c>
      <c r="AC54"/>
      <c r="AD54"/>
      <c r="AE54"/>
      <c r="AF54"/>
      <c r="AG54"/>
      <c r="AH54"/>
    </row>
    <row r="55" spans="1:41" x14ac:dyDescent="0.2">
      <c r="A55" s="19"/>
      <c r="B55" s="13" t="s">
        <v>31</v>
      </c>
      <c r="C55" s="6" t="str">
        <f>CONCATENATE(T55,U55,V55,W55,X55,Y55,Z55,AA55,AB55,AC55,AD55,AE55,AF55,AG55,AH55,AI55,AJ55,AK55,AL55,AM55,AN55,AO55,AP55,AQ55,AR55,AS55,AT55,AU55,AV55,AW55)</f>
        <v>[(FPOB to 1st post - 11.625" per SCD TST-2-21) x 4 ends] + (even spacing x no. of spaces x 2 sides)</v>
      </c>
      <c r="U55" s="6" t="s">
        <v>272</v>
      </c>
    </row>
    <row r="56" spans="1:41" x14ac:dyDescent="0.2">
      <c r="B56" s="13" t="s">
        <v>31</v>
      </c>
      <c r="C56" s="6" t="str">
        <f>CONCATENATE(T56,U56,V56,W56,X56,Y56,Z56,AA56,AB56,AC56,AD56,AE56,AF56,AG56,AH56,AI56,AJ56,AK56,AL56,AM56,AN56,AO56,AP56,AQ56,AR56,AS56,AT56,AU56,AV56,AW56)</f>
        <v>[(8.97 ft -  11.625/12) x 4 ends] + 8 ft x 11 spaces x 2 sides = 208.01 ft</v>
      </c>
      <c r="T56" s="6" t="s">
        <v>90</v>
      </c>
      <c r="U56" s="15">
        <v>8.9700000000000006</v>
      </c>
      <c r="V56" s="6" t="s">
        <v>271</v>
      </c>
      <c r="W56" s="15">
        <v>11.625</v>
      </c>
      <c r="X56" s="6" t="s">
        <v>274</v>
      </c>
      <c r="Y56" s="15">
        <v>4</v>
      </c>
      <c r="Z56" s="6" t="s">
        <v>273</v>
      </c>
      <c r="AA56" s="15">
        <v>8</v>
      </c>
      <c r="AB56" s="6" t="s">
        <v>8</v>
      </c>
      <c r="AC56" s="15">
        <v>11</v>
      </c>
      <c r="AD56" s="6" t="s">
        <v>269</v>
      </c>
      <c r="AE56" s="15">
        <v>2</v>
      </c>
      <c r="AF56" s="6" t="s">
        <v>270</v>
      </c>
      <c r="AG56" s="21">
        <f>ROUND((U56-W56/12)*Y56+AA56*AC56*AE56,2)</f>
        <v>208.01</v>
      </c>
      <c r="AH56" s="6" t="s">
        <v>9</v>
      </c>
    </row>
    <row r="57" spans="1:41" x14ac:dyDescent="0.2">
      <c r="O57" s="14"/>
      <c r="P57" s="10" t="s">
        <v>18</v>
      </c>
      <c r="Q57" s="9">
        <f>ROUND(AG56,0)</f>
        <v>208</v>
      </c>
      <c r="R57" s="9" t="s">
        <v>72</v>
      </c>
      <c r="S57" s="14"/>
    </row>
    <row r="58" spans="1:41" ht="15" customHeight="1" x14ac:dyDescent="0.25">
      <c r="A58" s="12" t="str">
        <f ca="1">CELL("filename")</f>
        <v>c:\users\mclark3\appdata\local\bentley\projectwise\workingdir\ohiodot-pw.bentley.com_ohiodot-pw-02\michael.clark@dot.ohio.gov\d0512215\[111085_Structure Calculations.xlsx]Sheet5</v>
      </c>
      <c r="B58" s="13"/>
      <c r="O58" s="11"/>
      <c r="P58" s="46"/>
      <c r="Q58" s="47"/>
      <c r="R58" s="11"/>
      <c r="T58" s="31"/>
    </row>
    <row r="59" spans="1:41" s="107" customFormat="1" ht="15" x14ac:dyDescent="0.25"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</row>
    <row r="60" spans="1:41" s="107" customFormat="1" ht="15" x14ac:dyDescent="0.25"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</row>
    <row r="61" spans="1:41" s="107" customFormat="1" ht="15" x14ac:dyDescent="0.25"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</row>
    <row r="62" spans="1:41" s="107" customFormat="1" ht="15" x14ac:dyDescent="0.25"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</row>
    <row r="63" spans="1:41" s="107" customFormat="1" ht="15" x14ac:dyDescent="0.25"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</row>
    <row r="64" spans="1:41" s="107" customFormat="1" ht="15" x14ac:dyDescent="0.25"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</row>
    <row r="65" spans="2:41" s="107" customFormat="1" ht="15" x14ac:dyDescent="0.25"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</row>
    <row r="66" spans="2:41" s="107" customFormat="1" ht="15" x14ac:dyDescent="0.25"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</row>
    <row r="69" spans="2:41" ht="15" customHeight="1" x14ac:dyDescent="0.25">
      <c r="B69" s="13"/>
      <c r="O69" s="11"/>
      <c r="P69" s="46"/>
      <c r="Q69" s="47"/>
      <c r="R69" s="11"/>
      <c r="T69" s="31"/>
    </row>
    <row r="70" spans="2:41" ht="12.75" customHeight="1" x14ac:dyDescent="0.2">
      <c r="N70" s="36"/>
      <c r="O70" s="11"/>
      <c r="P70" s="45"/>
      <c r="R70" s="11"/>
      <c r="S70" s="11"/>
      <c r="AI70" s="33"/>
      <c r="AJ70" s="33"/>
      <c r="AK70" s="37"/>
      <c r="AL70" s="33"/>
      <c r="AM70" s="33"/>
      <c r="AN70" s="33"/>
      <c r="AO70" s="37"/>
    </row>
    <row r="71" spans="2:41" ht="12.75" customHeight="1" x14ac:dyDescent="0.2">
      <c r="N71" s="36"/>
      <c r="O71" s="11"/>
      <c r="P71" s="45"/>
      <c r="R71" s="11"/>
      <c r="S71" s="11"/>
      <c r="AI71" s="33"/>
      <c r="AJ71" s="33"/>
      <c r="AK71" s="37"/>
      <c r="AL71" s="33"/>
      <c r="AM71" s="33"/>
      <c r="AN71" s="33"/>
      <c r="AO71" s="37"/>
    </row>
    <row r="72" spans="2:41" ht="12.75" customHeight="1" x14ac:dyDescent="0.2">
      <c r="N72" s="36"/>
      <c r="O72" s="11"/>
      <c r="P72" s="45"/>
      <c r="R72" s="11"/>
      <c r="S72" s="11"/>
      <c r="AI72" s="33"/>
      <c r="AJ72" s="33"/>
      <c r="AK72" s="37"/>
      <c r="AL72" s="33"/>
      <c r="AM72" s="33"/>
      <c r="AN72" s="33"/>
      <c r="AO72" s="37"/>
    </row>
    <row r="73" spans="2:41" x14ac:dyDescent="0.2">
      <c r="B73" s="13"/>
      <c r="P73" s="11"/>
      <c r="Q73" s="26"/>
      <c r="R73" s="11"/>
    </row>
    <row r="74" spans="2:41" x14ac:dyDescent="0.2">
      <c r="U74" s="31"/>
    </row>
    <row r="75" spans="2:41" s="33" customFormat="1" x14ac:dyDescent="0.2"/>
    <row r="76" spans="2:41" x14ac:dyDescent="0.2">
      <c r="U76" s="31"/>
    </row>
    <row r="77" spans="2:41" s="33" customFormat="1" x14ac:dyDescent="0.2"/>
  </sheetData>
  <mergeCells count="11">
    <mergeCell ref="B3:C3"/>
    <mergeCell ref="A5:S5"/>
    <mergeCell ref="N1:O1"/>
    <mergeCell ref="R1:S1"/>
    <mergeCell ref="B2:D2"/>
    <mergeCell ref="N2:O2"/>
    <mergeCell ref="R2:S2"/>
    <mergeCell ref="A8:B8"/>
    <mergeCell ref="A12:B12"/>
    <mergeCell ref="A16:B16"/>
    <mergeCell ref="P18:Q18"/>
  </mergeCells>
  <pageMargins left="0.7" right="0.5" top="0.5" bottom="0.5" header="0.3" footer="0.3"/>
  <pageSetup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P82"/>
  <sheetViews>
    <sheetView tabSelected="1" zoomScaleNormal="100" zoomScaleSheetLayoutView="100" workbookViewId="0">
      <selection activeCell="AD10" sqref="AD10"/>
    </sheetView>
  </sheetViews>
  <sheetFormatPr defaultRowHeight="12.75" x14ac:dyDescent="0.2"/>
  <cols>
    <col min="1" max="1" width="6.7109375" style="6" customWidth="1"/>
    <col min="2" max="49" width="4.7109375" style="6" customWidth="1"/>
    <col min="50" max="16384" width="9.140625" style="6"/>
  </cols>
  <sheetData>
    <row r="1" spans="1:42" customFormat="1" ht="15" x14ac:dyDescent="0.25">
      <c r="A1" s="1" t="s">
        <v>0</v>
      </c>
      <c r="B1" s="1"/>
      <c r="C1" s="1"/>
      <c r="K1" s="2"/>
      <c r="L1" s="2"/>
      <c r="M1" s="3" t="s">
        <v>1</v>
      </c>
      <c r="N1" s="82" t="s">
        <v>262</v>
      </c>
      <c r="O1" s="82"/>
      <c r="P1" s="2"/>
      <c r="Q1" s="3" t="s">
        <v>2</v>
      </c>
      <c r="R1" s="83">
        <v>45699</v>
      </c>
      <c r="S1" s="82"/>
      <c r="T1" s="29"/>
      <c r="U1" s="1"/>
    </row>
    <row r="2" spans="1:42" customFormat="1" ht="15" x14ac:dyDescent="0.25">
      <c r="A2" s="4" t="s">
        <v>3</v>
      </c>
      <c r="B2" s="75" t="s">
        <v>263</v>
      </c>
      <c r="C2" s="75"/>
      <c r="D2" s="75"/>
      <c r="K2" s="2"/>
      <c r="L2" s="2"/>
      <c r="M2" s="3" t="s">
        <v>4</v>
      </c>
      <c r="N2" s="84" t="s">
        <v>292</v>
      </c>
      <c r="O2" s="84"/>
      <c r="P2" s="2"/>
      <c r="Q2" s="3" t="s">
        <v>2</v>
      </c>
      <c r="R2" s="85">
        <v>45754</v>
      </c>
      <c r="S2" s="84"/>
      <c r="T2" s="28"/>
      <c r="U2" s="30"/>
    </row>
    <row r="3" spans="1:42" customFormat="1" ht="15" x14ac:dyDescent="0.25">
      <c r="A3" s="4" t="s">
        <v>5</v>
      </c>
      <c r="B3" s="75">
        <v>111085</v>
      </c>
      <c r="C3" s="75"/>
      <c r="K3" s="2"/>
      <c r="L3" s="2"/>
      <c r="M3" s="2"/>
      <c r="N3" s="2"/>
      <c r="O3" s="2"/>
      <c r="P3" s="2" t="s">
        <v>6</v>
      </c>
      <c r="Q3" s="8">
        <v>6</v>
      </c>
      <c r="R3" s="2" t="s">
        <v>7</v>
      </c>
      <c r="S3" s="8">
        <v>6</v>
      </c>
    </row>
    <row r="4" spans="1:42" s="5" customFormat="1" ht="8.1" customHeight="1" thickBot="1" x14ac:dyDescent="0.25"/>
    <row r="6" spans="1:42" s="107" customFormat="1" x14ac:dyDescent="0.2">
      <c r="A6" s="43" t="s">
        <v>92</v>
      </c>
      <c r="B6" s="108"/>
    </row>
    <row r="7" spans="1:42" s="107" customFormat="1" ht="15" x14ac:dyDescent="0.25">
      <c r="A7" s="114" t="s">
        <v>29</v>
      </c>
      <c r="B7" s="108"/>
      <c r="O7" s="114"/>
      <c r="P7" s="68"/>
      <c r="Q7" s="47"/>
      <c r="R7" s="114"/>
      <c r="AC7" s="36"/>
    </row>
    <row r="8" spans="1:42" s="107" customFormat="1" x14ac:dyDescent="0.2">
      <c r="A8" s="19" t="s">
        <v>219</v>
      </c>
    </row>
    <row r="9" spans="1:42" s="107" customFormat="1" x14ac:dyDescent="0.2">
      <c r="A9" s="109"/>
      <c r="B9" s="108" t="s">
        <v>220</v>
      </c>
      <c r="C9" s="107" t="str">
        <f>CONCATENATE(T9,U9,V9,W9,X9,Y9,Z9,AA9,AB9,AC9,AD9,AE9,AF9,AG9,AH9,AI9,AJ9,AK9,AL9,AM9,AN9,AO9,AP9,AQ9,AR9,AS9,AT9,AU9,AV9,AW9)</f>
        <v>Length x Average Height x Thickness</v>
      </c>
      <c r="U9" s="107" t="s">
        <v>67</v>
      </c>
    </row>
    <row r="10" spans="1:42" s="107" customFormat="1" x14ac:dyDescent="0.2">
      <c r="A10" s="35"/>
      <c r="B10" s="108" t="s">
        <v>220</v>
      </c>
      <c r="C10" s="107" t="str">
        <f>CONCATENATE(T10,U10,V10,W10,X10,Y10,Z10,AA10,AB10,AC10,AD10,AE10,AF10,AG10,AH10,AI10,AJ10,AK10,AL10,AM10,AN10,AO10,AP10,AQ10,AR10,AS10,AT10,AU10,AV10,AW10)</f>
        <v>37.38 ft x 5.35 ft x 2 ft = 399.97 cu ft</v>
      </c>
      <c r="P10" s="114"/>
      <c r="Q10" s="26"/>
      <c r="R10" s="114"/>
      <c r="U10" s="110">
        <f>ROUND(37+(4.5/12),2)</f>
        <v>37.380000000000003</v>
      </c>
      <c r="V10" s="107" t="s">
        <v>8</v>
      </c>
      <c r="W10" s="110">
        <v>5.35</v>
      </c>
      <c r="X10" s="107" t="s">
        <v>8</v>
      </c>
      <c r="Y10" s="110">
        <v>2</v>
      </c>
      <c r="Z10" s="107" t="s">
        <v>10</v>
      </c>
      <c r="AA10" s="113">
        <f>ROUND(U10*W10*Y10,2)</f>
        <v>399.97</v>
      </c>
      <c r="AB10" s="107" t="s">
        <v>36</v>
      </c>
      <c r="AN10" s="70"/>
      <c r="AO10" s="69"/>
      <c r="AP10" s="69"/>
    </row>
    <row r="11" spans="1:42" s="107" customFormat="1" x14ac:dyDescent="0.2">
      <c r="U11" s="117"/>
      <c r="AN11" s="70"/>
      <c r="AO11" s="69"/>
      <c r="AP11" s="69"/>
    </row>
    <row r="12" spans="1:42" s="107" customFormat="1" ht="15" x14ac:dyDescent="0.25">
      <c r="A12" s="114" t="s">
        <v>41</v>
      </c>
      <c r="B12" s="108"/>
      <c r="O12" s="114"/>
      <c r="P12" s="68"/>
      <c r="Q12" s="47"/>
      <c r="R12" s="114"/>
      <c r="AC12" s="36"/>
      <c r="AN12" s="70"/>
      <c r="AO12" s="69"/>
      <c r="AP12" s="69"/>
    </row>
    <row r="13" spans="1:42" s="107" customFormat="1" x14ac:dyDescent="0.2">
      <c r="A13" s="19" t="s">
        <v>219</v>
      </c>
      <c r="AN13" s="70"/>
      <c r="AO13" s="69"/>
      <c r="AP13" s="69"/>
    </row>
    <row r="14" spans="1:42" s="107" customFormat="1" x14ac:dyDescent="0.2">
      <c r="A14" s="109"/>
      <c r="B14" s="108" t="s">
        <v>50</v>
      </c>
      <c r="C14" s="107" t="str">
        <f>CONCATENATE(T14,U14,V14,W14,X14,Y14,Z14,AA14,AB14,AC14,AD14,AE14,AF14,AG14,AH14,AI14,AJ14,AK14,AL14,AM14,AN14,AO14,AP14,AQ14,AR14,AS14,AT14,AU14,AV14,AW14)</f>
        <v>Length x Average Height x Thickness</v>
      </c>
      <c r="U14" s="107" t="s">
        <v>67</v>
      </c>
    </row>
    <row r="15" spans="1:42" s="107" customFormat="1" x14ac:dyDescent="0.2">
      <c r="A15" s="35"/>
      <c r="B15" s="108" t="s">
        <v>50</v>
      </c>
      <c r="C15" s="107" t="str">
        <f>CONCATENATE(T15,U15,V15,W15,X15,Y15,Z15,AA15,AB15,AC15,AD15,AE15,AF15,AG15,AH15,AI15,AJ15,AK15,AL15,AM15,AN15,AO15,AP15,AQ15,AR15,AS15,AT15,AU15,AV15,AW15)</f>
        <v>37.38 ft x 5.4 ft x 2 ft = 403.7 cu ft</v>
      </c>
      <c r="P15" s="114"/>
      <c r="Q15" s="26"/>
      <c r="R15" s="114"/>
      <c r="U15" s="110">
        <f>ROUND(37+(4.5/12),2)</f>
        <v>37.380000000000003</v>
      </c>
      <c r="V15" s="107" t="s">
        <v>8</v>
      </c>
      <c r="W15" s="110">
        <v>5.4</v>
      </c>
      <c r="X15" s="107" t="s">
        <v>8</v>
      </c>
      <c r="Y15" s="110">
        <v>2</v>
      </c>
      <c r="Z15" s="107" t="s">
        <v>10</v>
      </c>
      <c r="AA15" s="113">
        <f>ROUND(U15*W15*Y15,2)</f>
        <v>403.7</v>
      </c>
      <c r="AB15" s="107" t="s">
        <v>36</v>
      </c>
    </row>
    <row r="16" spans="1:42" s="107" customFormat="1" x14ac:dyDescent="0.2">
      <c r="U16" s="117"/>
    </row>
    <row r="17" spans="1:29" s="107" customFormat="1" x14ac:dyDescent="0.2">
      <c r="A17" s="114" t="s">
        <v>51</v>
      </c>
      <c r="B17" s="108"/>
      <c r="D17" s="24"/>
      <c r="F17" s="108"/>
      <c r="P17" s="114"/>
      <c r="Q17" s="26"/>
      <c r="R17" s="114"/>
      <c r="AC17" s="115"/>
    </row>
    <row r="18" spans="1:29" s="107" customFormat="1" x14ac:dyDescent="0.2">
      <c r="A18" s="20"/>
      <c r="B18" s="108" t="s">
        <v>52</v>
      </c>
      <c r="C18" s="107" t="str">
        <f>CONCATENATE(T18,U18,V18,W18,X18,Y18,Z18,AA18,AB18,AC18,AD18,AE18,AF18,AG18,AH18,AI18,AJ18,AK18,AL18,AM18,AN18,AO18,AP18,AQ18,AR18,AS18,AT18,AU18,AV18,AW18)</f>
        <v>Vr + Vf</v>
      </c>
      <c r="D18" s="24"/>
      <c r="F18" s="108"/>
      <c r="U18" s="107" t="s">
        <v>68</v>
      </c>
    </row>
    <row r="19" spans="1:29" s="107" customFormat="1" x14ac:dyDescent="0.2">
      <c r="A19" s="114"/>
      <c r="B19" s="108" t="s">
        <v>52</v>
      </c>
      <c r="C19" s="107" t="str">
        <f>CONCATENATE(T19,U19,V19,W19,X19,Y19,Z19,AA19,AB19,AC19,AD19,AE19,AF19,AG19,AH19,AI19,AJ19,AK19,AL19,AM19,AN19,AO19,AP19,AQ19,AR19,AS19,AT19,AU19,AV19,AW19)</f>
        <v>399.97 cu ft + 403.7 cu ft = 803.67 cu ft</v>
      </c>
      <c r="D19" s="24"/>
      <c r="F19" s="108"/>
      <c r="U19" s="107">
        <f>AA10</f>
        <v>399.97</v>
      </c>
      <c r="V19" s="107" t="s">
        <v>36</v>
      </c>
      <c r="W19" s="107" t="s">
        <v>39</v>
      </c>
      <c r="X19" s="107">
        <f>AA15</f>
        <v>403.7</v>
      </c>
      <c r="Y19" s="107" t="s">
        <v>36</v>
      </c>
      <c r="Z19" s="107" t="s">
        <v>44</v>
      </c>
      <c r="AA19" s="113">
        <f>ROUND(U19+X19,2)</f>
        <v>803.67</v>
      </c>
      <c r="AB19" s="107" t="s">
        <v>36</v>
      </c>
    </row>
    <row r="20" spans="1:29" s="107" customFormat="1" x14ac:dyDescent="0.2">
      <c r="B20" s="108" t="s">
        <v>52</v>
      </c>
      <c r="C20" s="107" t="str">
        <f>CONCATENATE(T20,U20,V20,W20,X20,Y20,Z20,AA20,AB20,AC20,AD20,AE20,AF20,AG20,AH20,AI20,AJ20,AK20,AL20,AM20,AN20,AO20,AP20,AQ20,AR20,AS20,AT20,AU20,AV20,AW20)</f>
        <v>803.67 cu ft x (1/27) = 29.77 cu yd</v>
      </c>
      <c r="P20" s="114"/>
      <c r="Q20" s="26"/>
      <c r="R20" s="114"/>
      <c r="U20" s="107">
        <f>AA19</f>
        <v>803.67</v>
      </c>
      <c r="V20" s="107" t="s">
        <v>36</v>
      </c>
      <c r="W20" s="107" t="s">
        <v>48</v>
      </c>
      <c r="X20" s="110">
        <v>1</v>
      </c>
      <c r="Y20" s="107" t="s">
        <v>69</v>
      </c>
      <c r="Z20" s="110">
        <v>27</v>
      </c>
      <c r="AA20" s="107" t="s">
        <v>34</v>
      </c>
      <c r="AB20" s="113">
        <f>ROUND(U20*(X20/Z20),2)</f>
        <v>29.77</v>
      </c>
      <c r="AC20" s="107" t="s">
        <v>27</v>
      </c>
    </row>
    <row r="21" spans="1:29" s="107" customFormat="1" x14ac:dyDescent="0.2">
      <c r="O21" s="14"/>
      <c r="P21" s="10" t="s">
        <v>18</v>
      </c>
      <c r="Q21" s="116">
        <f>ROUND(AB20,0)</f>
        <v>30</v>
      </c>
      <c r="R21" s="10" t="s">
        <v>70</v>
      </c>
      <c r="S21" s="14"/>
      <c r="T21" s="117"/>
      <c r="U21" s="117"/>
    </row>
    <row r="23" spans="1:29" x14ac:dyDescent="0.2">
      <c r="A23" s="43" t="s">
        <v>71</v>
      </c>
      <c r="D23" s="24"/>
      <c r="F23" s="13"/>
    </row>
    <row r="24" spans="1:29" x14ac:dyDescent="0.2">
      <c r="A24" s="11" t="s">
        <v>29</v>
      </c>
      <c r="B24" s="13"/>
      <c r="D24" s="24"/>
      <c r="F24" s="13"/>
      <c r="P24" s="11"/>
      <c r="Q24" s="26"/>
      <c r="R24" s="11"/>
      <c r="AC24" s="17"/>
    </row>
    <row r="25" spans="1:29" x14ac:dyDescent="0.2">
      <c r="A25" s="19"/>
      <c r="B25" s="13" t="s">
        <v>63</v>
      </c>
      <c r="C25" s="6" t="str">
        <f>CONCATENATE(U25,V25,W25,X25,Y25,Z25,AA25,AB25,AC25,AD25,AE25,AF25,AG25,AH25,AI25,AJ25,AK25)</f>
        <v xml:space="preserve">40 ft </v>
      </c>
      <c r="D25" s="24"/>
      <c r="H25" s="13"/>
      <c r="U25" s="15">
        <v>40</v>
      </c>
      <c r="V25" s="6" t="s">
        <v>57</v>
      </c>
    </row>
    <row r="26" spans="1:29" x14ac:dyDescent="0.2">
      <c r="A26" s="11" t="s">
        <v>41</v>
      </c>
      <c r="B26" s="13"/>
      <c r="F26" s="13"/>
    </row>
    <row r="27" spans="1:29" x14ac:dyDescent="0.2">
      <c r="B27" s="13" t="s">
        <v>64</v>
      </c>
      <c r="C27" s="6" t="str">
        <f>CONCATENATE(U27,V27,W27,X27,Y27,Z27,AA27,AB27,AC27,AD27,AE27,AF27,AG27,AH27,AI27,AJ27,AK27,AL27)</f>
        <v xml:space="preserve">40 ft </v>
      </c>
      <c r="F27" s="13"/>
      <c r="P27" s="11"/>
      <c r="Q27" s="26"/>
      <c r="R27" s="11"/>
      <c r="U27" s="15">
        <v>40</v>
      </c>
      <c r="V27" s="6" t="s">
        <v>57</v>
      </c>
    </row>
    <row r="28" spans="1:29" x14ac:dyDescent="0.2">
      <c r="A28" s="11" t="s">
        <v>51</v>
      </c>
      <c r="B28" s="13"/>
    </row>
    <row r="29" spans="1:29" x14ac:dyDescent="0.2">
      <c r="A29" s="35"/>
      <c r="B29" s="13" t="s">
        <v>65</v>
      </c>
      <c r="C29" s="6" t="str">
        <f>CONCATENATE(T29,U29,V29,W29,X29,Y29,Z29,AA29,AB29,AC29,AD29,AE29,AF29,AG29,AH29,AI29,AJ29,AK29,AL29,AM29,AN29,AO29,AP29,AQ29,AR29,AS29,AT29,AU29,AV29,AW29)</f>
        <v>Lr + Lf</v>
      </c>
      <c r="D29" s="7"/>
      <c r="U29" s="6" t="s">
        <v>66</v>
      </c>
    </row>
    <row r="30" spans="1:29" x14ac:dyDescent="0.2">
      <c r="B30" s="13" t="s">
        <v>65</v>
      </c>
      <c r="C30" s="6" t="str">
        <f>CONCATENATE(T30,U30,V30,W30,X30,Y30,Z30,AA30,AB30,AC30,AD30,AE30,AF30,AG30,AH30,AI30,AJ30,AK30,AL30,AM30,AN30,AO30,AP30,AQ30,AR30,AS30,AT30,AU30,AV30,AW30)</f>
        <v>40 ft + 40 ft = 80 ft</v>
      </c>
      <c r="O30" s="14"/>
      <c r="P30" s="10" t="s">
        <v>18</v>
      </c>
      <c r="Q30" s="9">
        <f>ROUND(AA30,0)</f>
        <v>80</v>
      </c>
      <c r="R30" s="9" t="s">
        <v>72</v>
      </c>
      <c r="S30" s="14"/>
      <c r="T30" s="31"/>
      <c r="U30" s="6">
        <f>U25</f>
        <v>40</v>
      </c>
      <c r="V30" s="6" t="s">
        <v>9</v>
      </c>
      <c r="W30" s="6" t="s">
        <v>39</v>
      </c>
      <c r="X30" s="6">
        <f>U27</f>
        <v>40</v>
      </c>
      <c r="Y30" s="6" t="s">
        <v>9</v>
      </c>
      <c r="Z30" s="6" t="s">
        <v>44</v>
      </c>
      <c r="AA30" s="21">
        <f>ROUND(U30+X30,2)</f>
        <v>80</v>
      </c>
      <c r="AB30" s="6" t="s">
        <v>9</v>
      </c>
    </row>
    <row r="32" spans="1:29" x14ac:dyDescent="0.2">
      <c r="A32" s="43" t="s">
        <v>157</v>
      </c>
    </row>
    <row r="33" spans="1:32" x14ac:dyDescent="0.2">
      <c r="A33" s="11" t="s">
        <v>29</v>
      </c>
      <c r="B33" s="13"/>
    </row>
    <row r="34" spans="1:32" x14ac:dyDescent="0.2">
      <c r="B34" s="13" t="s">
        <v>63</v>
      </c>
      <c r="C34" s="6" t="str">
        <f>CONCATENATE(T34,U34,V34,W34,X34,Y34,Z34,AA34,AB34,AC34,AD34,AE34,AF34,AG34,AH34,AI34,AJ34,AK34,AL34,AM34,AN34,AO34,AP34,AQ34,AR34,AS34,AT34,AU34,AV34,AW34)</f>
        <v>Lrl + Lrr = 10 ft + 10 ft = 20 ft</v>
      </c>
      <c r="D34" s="7"/>
      <c r="U34" s="6" t="s">
        <v>158</v>
      </c>
      <c r="V34" s="6" t="s">
        <v>159</v>
      </c>
      <c r="W34" s="15">
        <v>10</v>
      </c>
      <c r="X34" s="6" t="s">
        <v>56</v>
      </c>
      <c r="Y34" s="15">
        <v>10</v>
      </c>
      <c r="Z34" s="6" t="s">
        <v>10</v>
      </c>
      <c r="AA34" s="21">
        <f>ROUND(W34+Y34,2)</f>
        <v>20</v>
      </c>
      <c r="AB34" s="6" t="s">
        <v>9</v>
      </c>
    </row>
    <row r="35" spans="1:32" x14ac:dyDescent="0.2">
      <c r="A35" s="11" t="s">
        <v>41</v>
      </c>
      <c r="B35" s="13"/>
      <c r="P35" s="11"/>
      <c r="Q35" s="26"/>
      <c r="R35" s="11"/>
    </row>
    <row r="36" spans="1:32" x14ac:dyDescent="0.2">
      <c r="A36" s="7"/>
      <c r="B36" s="13" t="s">
        <v>64</v>
      </c>
      <c r="C36" s="6" t="str">
        <f>CONCATENATE(T36,U36,V36,W36,X36,Y36,Z36,AA36,AB36,AC36,AD36,AE36,AF36,AG36,AH36,AI36,AJ36,AK36,AL36,AM36,AN36,AO36,AP36,AQ36,AR36,AS36,AT36,AU36,AV36,AW36)</f>
        <v>Lfl + Lfr = 10 ft + 10 ft = 20 ft</v>
      </c>
      <c r="J36" s="55"/>
      <c r="U36" s="6" t="s">
        <v>160</v>
      </c>
      <c r="V36" s="6" t="s">
        <v>161</v>
      </c>
      <c r="W36" s="15">
        <v>10</v>
      </c>
      <c r="X36" s="6" t="s">
        <v>56</v>
      </c>
      <c r="Y36" s="15">
        <v>10</v>
      </c>
      <c r="Z36" s="6" t="s">
        <v>10</v>
      </c>
      <c r="AA36" s="21">
        <f>ROUND(W36+Y36,2)</f>
        <v>20</v>
      </c>
      <c r="AB36" s="6" t="s">
        <v>9</v>
      </c>
    </row>
    <row r="37" spans="1:32" ht="12.75" customHeight="1" x14ac:dyDescent="0.25">
      <c r="A37" s="11" t="s">
        <v>51</v>
      </c>
      <c r="B37" s="13"/>
      <c r="O37" s="11"/>
      <c r="P37" s="101"/>
      <c r="Q37" s="102"/>
      <c r="R37" s="11"/>
      <c r="AC37" s="36"/>
    </row>
    <row r="38" spans="1:32" x14ac:dyDescent="0.2">
      <c r="A38" s="19"/>
      <c r="B38" s="13" t="s">
        <v>65</v>
      </c>
      <c r="C38" s="6" t="str">
        <f>CONCATENATE(T38,U38,V38,W38,X38,Y38,Z38,AA38,AB38,AC38,AD38,AE38,AF38,AG38,AH38,AI38,AJ38,AK38,AL38,AM38,AN38,AO38,AP38,AQ38,AR38,AS38,AT38,AU38,AV38,AW38)</f>
        <v>Lr + Lf = 20 ft + 20 ft = 40 ft</v>
      </c>
      <c r="O38" s="14"/>
      <c r="P38" s="10" t="s">
        <v>18</v>
      </c>
      <c r="Q38" s="9">
        <f>ROUND(AA38,0)</f>
        <v>40</v>
      </c>
      <c r="R38" s="10" t="s">
        <v>72</v>
      </c>
      <c r="S38" s="14"/>
      <c r="T38" s="31"/>
      <c r="U38" s="6" t="s">
        <v>66</v>
      </c>
      <c r="V38" s="6" t="s">
        <v>44</v>
      </c>
      <c r="W38" s="6">
        <f>AA34</f>
        <v>20</v>
      </c>
      <c r="X38" s="6" t="s">
        <v>56</v>
      </c>
      <c r="Y38" s="6">
        <f>AA36</f>
        <v>20</v>
      </c>
      <c r="Z38" s="6" t="s">
        <v>10</v>
      </c>
      <c r="AA38" s="21">
        <f>ROUND(W38+Y38,2)</f>
        <v>40</v>
      </c>
      <c r="AB38" s="6" t="s">
        <v>9</v>
      </c>
    </row>
    <row r="39" spans="1:32" x14ac:dyDescent="0.2">
      <c r="P39" s="11"/>
      <c r="Q39" s="26"/>
      <c r="R39" s="11"/>
      <c r="T39" s="31"/>
      <c r="U39" s="31"/>
    </row>
    <row r="40" spans="1:32" x14ac:dyDescent="0.2">
      <c r="A40" s="43" t="s">
        <v>287</v>
      </c>
      <c r="B40" s="13"/>
      <c r="P40" s="11"/>
      <c r="Q40" s="26"/>
      <c r="R40" s="11"/>
    </row>
    <row r="41" spans="1:32" x14ac:dyDescent="0.2">
      <c r="B41" s="13" t="s">
        <v>221</v>
      </c>
      <c r="C41" s="6" t="str">
        <f>CONCATENATE(T41,U41,V41,W41,X41,Y41,Z41,AA41,AB41,AC41,AD41,AE41,AF41,AG41,AH41,AI41,AJ41,AK41,AL41,AM41,AN41,AO41,AP41,AQ41,AR41,AS41,AT41,AU41,AV41,AW41)</f>
        <v>L x W x 2 approach slabs</v>
      </c>
      <c r="U41" s="6" t="s">
        <v>234</v>
      </c>
    </row>
    <row r="42" spans="1:32" x14ac:dyDescent="0.2">
      <c r="A42" s="35"/>
      <c r="B42" s="13" t="s">
        <v>221</v>
      </c>
      <c r="C42" s="6" t="str">
        <f>CONCATENATE(T42,U42,V42,W42,X42,Y42,Z42,AA42,AB42,AC42,AD42,AE42,AF42,AG42,AH42,AI42,AJ42,AK42,AL42,AM42,AN42,AO42,AP42,AQ42,AR42,AS42,AT42,AU42,AV42,AW42)</f>
        <v>15 ft x 32 ft x (1/9) x 2 = 106.67 sq yd</v>
      </c>
      <c r="O42" s="14"/>
      <c r="P42" s="10" t="s">
        <v>18</v>
      </c>
      <c r="Q42" s="9">
        <f>ROUND(AE42,0)</f>
        <v>107</v>
      </c>
      <c r="R42" s="10" t="s">
        <v>73</v>
      </c>
      <c r="S42" s="14"/>
      <c r="T42" s="31"/>
      <c r="U42" s="15">
        <v>15</v>
      </c>
      <c r="V42" s="6" t="s">
        <v>8</v>
      </c>
      <c r="W42" s="15">
        <f>ROUND(32+(0/12),2)</f>
        <v>32</v>
      </c>
      <c r="X42" s="6" t="s">
        <v>222</v>
      </c>
      <c r="Y42" s="15">
        <v>1</v>
      </c>
      <c r="Z42" s="6" t="s">
        <v>69</v>
      </c>
      <c r="AA42" s="15">
        <v>9</v>
      </c>
      <c r="AB42" s="6" t="s">
        <v>195</v>
      </c>
      <c r="AC42" s="15">
        <v>2</v>
      </c>
      <c r="AD42" s="6" t="s">
        <v>44</v>
      </c>
      <c r="AE42" s="6">
        <f>ROUND(U42*W42*(Y42/AA42)*AC42,2)</f>
        <v>106.67</v>
      </c>
      <c r="AF42" s="6" t="s">
        <v>58</v>
      </c>
    </row>
    <row r="43" spans="1:32" ht="12.75" customHeight="1" x14ac:dyDescent="0.25">
      <c r="A43" s="92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</row>
    <row r="44" spans="1:32" x14ac:dyDescent="0.2">
      <c r="A44" s="43" t="s">
        <v>224</v>
      </c>
    </row>
    <row r="45" spans="1:32" x14ac:dyDescent="0.2">
      <c r="B45" s="13" t="s">
        <v>82</v>
      </c>
      <c r="C45" s="6" t="str">
        <f>CONCATENATE(T45,U45,V45,W45,X45,Y45,Z45,AA45,AB45,AC45,AD45,AE45,AF45,AG45,AH45,AI45,AJ45,AK45,AL45,AM45,AN45,AO45,AP45,AQ45,AR45,AS45,AT45,AU45,AV45,AW45)</f>
        <v>Rear + Forward</v>
      </c>
      <c r="U45" s="6" t="s">
        <v>223</v>
      </c>
    </row>
    <row r="46" spans="1:32" x14ac:dyDescent="0.2">
      <c r="B46" s="13" t="s">
        <v>82</v>
      </c>
      <c r="C46" s="6" t="str">
        <f>CONCATENATE(T46,U46,V46,W46,X46,Y46,Z46,AA46,AB46,AC46,AD46,AE46,AF46,AG46,AH46,AI46,AJ46,AK46,AL46,AM46,AN46,AO46,AP46,AQ46,AR46,AS46,AT46,AU46,AV46,AW46)</f>
        <v>32 ft / cos 10⁰ + 32 ft / cos 10⁰ = 64.99 ft</v>
      </c>
      <c r="O46" s="10"/>
      <c r="P46" s="10" t="s">
        <v>17</v>
      </c>
      <c r="Q46" s="9">
        <f>ROUND(AC46,0)</f>
        <v>65</v>
      </c>
      <c r="R46" s="9" t="s">
        <v>72</v>
      </c>
      <c r="S46" s="10"/>
      <c r="U46" s="15">
        <f>ROUND(32+(0/12),2)</f>
        <v>32</v>
      </c>
      <c r="V46" s="6" t="s">
        <v>196</v>
      </c>
      <c r="W46" s="15">
        <v>10</v>
      </c>
      <c r="X46" s="60" t="s">
        <v>225</v>
      </c>
      <c r="Y46" s="15">
        <f>ROUND(32+(0/12),2)</f>
        <v>32</v>
      </c>
      <c r="Z46" s="6" t="s">
        <v>196</v>
      </c>
      <c r="AA46" s="15">
        <v>10</v>
      </c>
      <c r="AB46" s="60" t="s">
        <v>197</v>
      </c>
      <c r="AC46" s="21">
        <f>ROUND((U46/COS(W46*PI()/180))+(Y46/COS(AA46*PI()/180)),2)</f>
        <v>64.989999999999995</v>
      </c>
      <c r="AD46" s="6" t="s">
        <v>9</v>
      </c>
    </row>
    <row r="48" spans="1:32" x14ac:dyDescent="0.2">
      <c r="A48" s="43" t="s">
        <v>288</v>
      </c>
      <c r="D48" s="24"/>
      <c r="F48" s="13"/>
    </row>
    <row r="49" spans="1:32" x14ac:dyDescent="0.2">
      <c r="A49" s="11" t="s">
        <v>29</v>
      </c>
      <c r="B49" s="13"/>
      <c r="D49" s="24"/>
      <c r="F49" s="13"/>
      <c r="P49" s="11"/>
      <c r="Q49" s="26"/>
      <c r="R49" s="11"/>
      <c r="AC49" s="17"/>
    </row>
    <row r="50" spans="1:32" x14ac:dyDescent="0.2">
      <c r="B50" s="13"/>
      <c r="C50" s="6" t="str">
        <f>CONCATENATE(T50,U50,V50,W50,X50,Y50,Z50,AA50,AB50,AC50,AD50,AE50,AF50,AG50,AH50,AI50,AJ50,AK50,AL50,AM50,AN50,AO50,AP50,AQ50,AR50,AS50,AT50,AU50,AV50,AW50)</f>
        <v>2 Each</v>
      </c>
      <c r="D50" s="7"/>
      <c r="AA50" s="21">
        <v>2</v>
      </c>
      <c r="AB50" s="6" t="s">
        <v>162</v>
      </c>
    </row>
    <row r="51" spans="1:32" x14ac:dyDescent="0.2">
      <c r="A51" s="11" t="s">
        <v>41</v>
      </c>
      <c r="B51" s="13"/>
      <c r="P51" s="11"/>
      <c r="Q51" s="26"/>
      <c r="R51" s="11"/>
    </row>
    <row r="52" spans="1:32" x14ac:dyDescent="0.2">
      <c r="A52" s="7"/>
      <c r="B52" s="13"/>
      <c r="C52" s="6" t="str">
        <f>CONCATENATE(T52,U52,V52,W52,X52,Y52,Z52,AA52,AB52,AC52,AD52,AE52,AF52,AG52,AH52,AI52,AJ52,AK52,AL52,AM52,AN52,AO52,AP52,AQ52,AR52,AS52,AT52,AU52,AV52,AW52)</f>
        <v>2 Each</v>
      </c>
      <c r="J52" s="55"/>
      <c r="AA52" s="21">
        <v>2</v>
      </c>
      <c r="AB52" s="6" t="s">
        <v>162</v>
      </c>
    </row>
    <row r="53" spans="1:32" ht="12.75" customHeight="1" x14ac:dyDescent="0.25">
      <c r="A53" s="11" t="s">
        <v>51</v>
      </c>
      <c r="B53" s="13"/>
      <c r="O53" s="11"/>
      <c r="P53" s="101"/>
      <c r="Q53" s="102"/>
      <c r="R53" s="11"/>
      <c r="AC53" s="36"/>
    </row>
    <row r="54" spans="1:32" x14ac:dyDescent="0.2">
      <c r="A54" s="19"/>
      <c r="B54" s="13"/>
      <c r="C54" s="6" t="str">
        <f>CONCATENATE(T54,U54,V54,W54,X54,Y54,Z54,AA54,AB54,AC54,AD54,AE54,AF54,AG54,AH54,AI54,AJ54,AK54,AL54,AM54,AN54,AO54,AP54,AQ54,AR54,AS54,AT54,AU54,AV54,AW54)</f>
        <v>2 Each + 2 Each = 4 Each</v>
      </c>
      <c r="O54" s="14"/>
      <c r="P54" s="10" t="s">
        <v>18</v>
      </c>
      <c r="Q54" s="9">
        <f>ROUND(AA54,0)</f>
        <v>4</v>
      </c>
      <c r="R54" s="10" t="s">
        <v>19</v>
      </c>
      <c r="S54" s="14"/>
      <c r="T54" s="31"/>
      <c r="W54" s="6">
        <f>AA50</f>
        <v>2</v>
      </c>
      <c r="X54" s="6" t="s">
        <v>163</v>
      </c>
      <c r="Y54" s="6">
        <f>AA52</f>
        <v>2</v>
      </c>
      <c r="Z54" s="6" t="s">
        <v>164</v>
      </c>
      <c r="AA54" s="21">
        <f>ROUND(W54+Y54,2)</f>
        <v>4</v>
      </c>
      <c r="AB54" s="6" t="s">
        <v>162</v>
      </c>
    </row>
    <row r="55" spans="1:32" x14ac:dyDescent="0.2">
      <c r="A55" s="19"/>
      <c r="B55" s="13"/>
      <c r="P55" s="11"/>
      <c r="Q55" s="26"/>
      <c r="R55" s="11"/>
      <c r="T55" s="31"/>
    </row>
    <row r="56" spans="1:32" x14ac:dyDescent="0.2">
      <c r="A56" s="43" t="s">
        <v>283</v>
      </c>
    </row>
    <row r="57" spans="1:32" x14ac:dyDescent="0.2">
      <c r="B57" s="13" t="s">
        <v>101</v>
      </c>
      <c r="C57" s="6" t="str">
        <f>CONCATENATE(T57,U57,V57,W57,X57,Y57,Z57,AA57,AB57,AC57,AD57,AE57,AF57,AG57,AH57,AI57,AJ57,AK57,AL57,AM57,AN57,AO57,AP57,AQ57,AR57,AS57,AT57,AU57,AV57,AW57)</f>
        <v>1 each</v>
      </c>
      <c r="O57" s="10"/>
      <c r="P57" s="10" t="s">
        <v>17</v>
      </c>
      <c r="Q57" s="9">
        <f>U57</f>
        <v>1</v>
      </c>
      <c r="R57" s="9" t="s">
        <v>19</v>
      </c>
      <c r="S57" s="10"/>
      <c r="U57" s="15">
        <v>1</v>
      </c>
      <c r="V57" s="6" t="s">
        <v>284</v>
      </c>
      <c r="X57" s="60"/>
    </row>
    <row r="58" spans="1:32" x14ac:dyDescent="0.2">
      <c r="A58" s="11"/>
      <c r="B58" s="13"/>
      <c r="V58" s="33"/>
      <c r="W58" s="33"/>
      <c r="X58" s="33"/>
      <c r="Y58" s="33"/>
      <c r="Z58" s="33"/>
      <c r="AA58" s="33"/>
      <c r="AB58" s="33"/>
    </row>
    <row r="59" spans="1:32" x14ac:dyDescent="0.2">
      <c r="A59" s="43" t="s">
        <v>235</v>
      </c>
    </row>
    <row r="60" spans="1:32" x14ac:dyDescent="0.2">
      <c r="B60" s="13" t="s">
        <v>82</v>
      </c>
      <c r="C60" s="6" t="str">
        <f>CONCATENATE(T60,U60,V60,W60,X60,Y60,Z60,AA60,AB60,AC60,AD60,AE60,AF60,AG60,AH60,AI60,AJ60,AK60,AL60,AM60,AN60,AO60,AP60,AQ60,AR60,AS60,AT60,AU60,AV60,AW60)</f>
        <v>L x W x D x 2 approach slabs</v>
      </c>
      <c r="U60" s="6" t="s">
        <v>237</v>
      </c>
    </row>
    <row r="61" spans="1:32" x14ac:dyDescent="0.2">
      <c r="B61" s="13" t="s">
        <v>82</v>
      </c>
      <c r="C61" s="6" t="str">
        <f>CONCATENATE(T61,U61,V61,W61,X61,Y61,Z61,AA61,AB61,AC61,AD61,AE61,AF61,AG61,AH61,AI61,AJ61,AK61,AL61,AM61,AN61,AO61,AP61,AQ61,AR61,AS61,AT61,AU61,AV61,AW61)</f>
        <v>32 ft / cos 10⁰ x  1.67 ft x  0.25 ft x  2 Each = 27.13 cu ft</v>
      </c>
      <c r="O61" s="10"/>
      <c r="P61" s="10" t="s">
        <v>17</v>
      </c>
      <c r="Q61" s="9">
        <f>ROUND(AE61,0)</f>
        <v>27</v>
      </c>
      <c r="R61" s="9" t="s">
        <v>236</v>
      </c>
      <c r="S61" s="10"/>
      <c r="U61" s="15">
        <f>ROUND(32+(0/12),2)</f>
        <v>32</v>
      </c>
      <c r="V61" s="6" t="s">
        <v>196</v>
      </c>
      <c r="W61" s="15">
        <v>10</v>
      </c>
      <c r="X61" s="60" t="s">
        <v>232</v>
      </c>
      <c r="Y61" s="15">
        <f>ROUND((20/12),2)</f>
        <v>1.67</v>
      </c>
      <c r="Z61" s="6" t="s">
        <v>233</v>
      </c>
      <c r="AA61" s="15">
        <f>ROUND((3/12),2)</f>
        <v>0.25</v>
      </c>
      <c r="AB61" s="6" t="s">
        <v>233</v>
      </c>
      <c r="AC61" s="15">
        <v>2</v>
      </c>
      <c r="AD61" s="6" t="s">
        <v>164</v>
      </c>
      <c r="AE61" s="21">
        <f>ROUND((U61/COS(W61*PI()/180))*Y61*AA61*AC61,2)</f>
        <v>27.13</v>
      </c>
      <c r="AF61" s="6" t="s">
        <v>36</v>
      </c>
    </row>
    <row r="62" spans="1:32" x14ac:dyDescent="0.2">
      <c r="A62" s="11"/>
      <c r="B62" s="13"/>
      <c r="V62" s="33"/>
      <c r="W62" s="33"/>
      <c r="X62" s="33"/>
      <c r="Y62" s="33"/>
      <c r="Z62" s="33"/>
      <c r="AA62" s="33"/>
      <c r="AB62" s="33"/>
    </row>
    <row r="63" spans="1:32" x14ac:dyDescent="0.2">
      <c r="A63" s="12" t="str">
        <f ca="1">CELL("filename")</f>
        <v>c:\users\mclark3\appdata\local\bentley\projectwise\workingdir\ohiodot-pw.bentley.com_ohiodot-pw-02\michael.clark@dot.ohio.gov\d0512215\[111085_Structure Calculations.xlsx]Sheet5</v>
      </c>
      <c r="AA63" s="33"/>
      <c r="AB63" s="33"/>
    </row>
    <row r="64" spans="1:32" x14ac:dyDescent="0.2">
      <c r="B64" s="13"/>
      <c r="T64" s="31"/>
    </row>
    <row r="65" spans="2:20" s="33" customFormat="1" ht="12.75" customHeight="1" x14ac:dyDescent="0.25"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</row>
    <row r="82" spans="2:20" x14ac:dyDescent="0.2">
      <c r="B82" s="13"/>
      <c r="P82" s="11"/>
      <c r="Q82" s="26"/>
      <c r="R82" s="26"/>
      <c r="T82" s="31"/>
    </row>
  </sheetData>
  <mergeCells count="9">
    <mergeCell ref="P37:Q37"/>
    <mergeCell ref="P53:Q53"/>
    <mergeCell ref="A43:S43"/>
    <mergeCell ref="B3:C3"/>
    <mergeCell ref="N1:O1"/>
    <mergeCell ref="R1:S1"/>
    <mergeCell ref="B2:D2"/>
    <mergeCell ref="N2:O2"/>
    <mergeCell ref="R2:S2"/>
  </mergeCells>
  <pageMargins left="0.7" right="0.5" top="0.5" bottom="0.5" header="0.3" footer="0.3"/>
  <pageSetup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Sheet1!Print_Area</vt:lpstr>
      <vt:lpstr>Sheet2!Print_Area</vt:lpstr>
      <vt:lpstr>Sheet3!Print_Area</vt:lpstr>
      <vt:lpstr>Sheet4!Print_Area</vt:lpstr>
      <vt:lpstr>Sheet5!Print_Area</vt:lpstr>
      <vt:lpstr>Sheet6!Print_Area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Trivoli</dc:creator>
  <cp:lastModifiedBy>Clark, Michael</cp:lastModifiedBy>
  <cp:lastPrinted>2025-08-14T19:23:53Z</cp:lastPrinted>
  <dcterms:created xsi:type="dcterms:W3CDTF">2011-01-13T17:36:12Z</dcterms:created>
  <dcterms:modified xsi:type="dcterms:W3CDTF">2025-08-14T21:02:20Z</dcterms:modified>
</cp:coreProperties>
</file>